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vol04\OR\Research Communications\ORE website 2021\Research Administration\Forms\"/>
    </mc:Choice>
  </mc:AlternateContent>
  <xr:revisionPtr revIDLastSave="0" documentId="8_{31BE3583-1A89-4B11-9FBD-4C18B5ADDD31}" xr6:coauthVersionLast="45" xr6:coauthVersionMax="45" xr10:uidLastSave="{00000000-0000-0000-0000-000000000000}"/>
  <bookViews>
    <workbookView xWindow="-110" yWindow="-110" windowWidth="19420" windowHeight="10420" xr2:uid="{00000000-000D-0000-FFFF-FFFF00000000}"/>
  </bookViews>
  <sheets>
    <sheet name="Salary Cap Calculator" sheetId="1" r:id="rId1"/>
    <sheet name="If proposing ACAD &amp; SUM effort" sheetId="2" r:id="rId2"/>
    <sheet name="CUMULATIVE" sheetId="3" r:id="rId3"/>
  </sheets>
  <definedNames>
    <definedName name="Academic" localSheetId="2">CUMULATIVE!#REF!</definedName>
    <definedName name="Academic" localSheetId="1">'If proposing ACAD &amp; SUM effort'!#REF!</definedName>
    <definedName name="Academic">'Salary Cap Calculator'!#REF!</definedName>
    <definedName name="AppointmentType" localSheetId="2">CUMULATIVE!$B$56:$B$57</definedName>
    <definedName name="AppointmentType" localSheetId="1">'If proposing ACAD &amp; SUM effort'!$B$56:$B$57</definedName>
    <definedName name="AppointmentType">'Salary Cap Calculator'!$B$57:$B$58</definedName>
    <definedName name="Calendar" localSheetId="2">CUMULATIVE!#REF!</definedName>
    <definedName name="Calendar" localSheetId="1">'If proposing ACAD &amp; SUM effort'!#REF!</definedName>
    <definedName name="Calendar">'Salary Cap Calculator'!#REF!</definedName>
    <definedName name="EffortType" localSheetId="2">CUMULATIVE!#REF!</definedName>
    <definedName name="EffortType" localSheetId="1">'If proposing ACAD &amp; SUM effort'!#REF!</definedName>
    <definedName name="EffortType">'Salary Cap Calculator'!#REF!</definedName>
    <definedName name="IndirectCostType" localSheetId="2">CUMULATIVE!$B$48:$B$53</definedName>
    <definedName name="IndirectCostType" localSheetId="1">'If proposing ACAD &amp; SUM effort'!$B$48:$B$53</definedName>
    <definedName name="IndirectCostType">'Salary Cap Calculator'!$B$49:$B$54</definedName>
    <definedName name="_xlnm.Print_Area" localSheetId="2">CUMULATIVE!$B$2:$H$39</definedName>
    <definedName name="_xlnm.Print_Area" localSheetId="1">'If proposing ACAD &amp; SUM effort'!$B$2:$H$39</definedName>
    <definedName name="_xlnm.Print_Area" localSheetId="0">'Salary Cap Calculator'!$B$2:$H$40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 l="1"/>
  <c r="H18" i="2"/>
  <c r="H19" i="2"/>
  <c r="C17" i="2"/>
  <c r="C18" i="2"/>
  <c r="C19" i="2"/>
  <c r="C20" i="2"/>
  <c r="C16" i="2"/>
  <c r="H66" i="2" l="1"/>
  <c r="G66" i="2"/>
  <c r="F66" i="2"/>
  <c r="E66" i="2"/>
  <c r="D66" i="2"/>
  <c r="H65" i="2"/>
  <c r="G65" i="2"/>
  <c r="F65" i="2"/>
  <c r="E65" i="2"/>
  <c r="D65" i="2"/>
  <c r="H64" i="2"/>
  <c r="G64" i="2"/>
  <c r="F64" i="2"/>
  <c r="E64" i="2"/>
  <c r="D64" i="2"/>
  <c r="H63" i="2"/>
  <c r="G63" i="2"/>
  <c r="F63" i="2"/>
  <c r="E63" i="2"/>
  <c r="D63" i="2"/>
  <c r="H62" i="2"/>
  <c r="G62" i="2"/>
  <c r="F62" i="2"/>
  <c r="E62" i="2"/>
  <c r="D62" i="2"/>
  <c r="H61" i="2"/>
  <c r="G36" i="2" s="1"/>
  <c r="G61" i="2"/>
  <c r="F36" i="2" s="1"/>
  <c r="F61" i="2"/>
  <c r="E61" i="2"/>
  <c r="D61" i="2"/>
  <c r="C36" i="2" s="1"/>
  <c r="E36" i="2"/>
  <c r="D36" i="2"/>
  <c r="G25" i="2"/>
  <c r="G26" i="2" s="1"/>
  <c r="F25" i="2"/>
  <c r="F26" i="2" s="1"/>
  <c r="E25" i="2"/>
  <c r="D25" i="2"/>
  <c r="C25" i="2"/>
  <c r="C26" i="2" s="1"/>
  <c r="H24" i="2"/>
  <c r="C23" i="2"/>
  <c r="D23" i="2" s="1"/>
  <c r="E23" i="2" s="1"/>
  <c r="F23" i="2" s="1"/>
  <c r="G23" i="2" s="1"/>
  <c r="C24" i="3"/>
  <c r="F62" i="1"/>
  <c r="F63" i="1"/>
  <c r="F64" i="1"/>
  <c r="F65" i="1"/>
  <c r="F66" i="1"/>
  <c r="F61" i="1"/>
  <c r="E36" i="1" s="1"/>
  <c r="D62" i="1"/>
  <c r="E62" i="1"/>
  <c r="G62" i="1"/>
  <c r="H62" i="1"/>
  <c r="D63" i="1"/>
  <c r="E63" i="1"/>
  <c r="G63" i="1"/>
  <c r="H63" i="1"/>
  <c r="D64" i="1"/>
  <c r="E64" i="1"/>
  <c r="G64" i="1"/>
  <c r="H64" i="1"/>
  <c r="D65" i="1"/>
  <c r="E65" i="1"/>
  <c r="G65" i="1"/>
  <c r="H65" i="1"/>
  <c r="D66" i="1"/>
  <c r="E66" i="1"/>
  <c r="G66" i="1"/>
  <c r="H66" i="1"/>
  <c r="H61" i="1"/>
  <c r="G36" i="1" s="1"/>
  <c r="G61" i="1"/>
  <c r="F36" i="1" s="1"/>
  <c r="E61" i="1"/>
  <c r="D36" i="1" s="1"/>
  <c r="D61" i="1"/>
  <c r="C36" i="1" s="1"/>
  <c r="D26" i="2" l="1"/>
  <c r="E26" i="2"/>
  <c r="H25" i="2"/>
  <c r="H26" i="2" l="1"/>
  <c r="C16" i="3"/>
  <c r="C17" i="3"/>
  <c r="C18" i="3"/>
  <c r="D24" i="3" l="1"/>
  <c r="E24" i="3"/>
  <c r="F24" i="3"/>
  <c r="G24" i="3"/>
  <c r="C19" i="3"/>
  <c r="C20" i="3"/>
  <c r="H19" i="3"/>
  <c r="H18" i="3"/>
  <c r="H16" i="3"/>
  <c r="H17" i="3" s="1"/>
  <c r="C23" i="3" l="1"/>
  <c r="D23" i="3" s="1"/>
  <c r="E23" i="3" s="1"/>
  <c r="F23" i="3" s="1"/>
  <c r="G23" i="3" s="1"/>
  <c r="H24" i="1" l="1"/>
  <c r="H24" i="3" s="1"/>
  <c r="C23" i="1"/>
  <c r="D23" i="1" s="1"/>
  <c r="D25" i="1" s="1"/>
  <c r="D25" i="3" l="1"/>
  <c r="D26" i="1"/>
  <c r="C25" i="1"/>
  <c r="E23" i="1"/>
  <c r="E25" i="1" s="1"/>
  <c r="C25" i="3" l="1"/>
  <c r="D26" i="3"/>
  <c r="C26" i="1"/>
  <c r="C26" i="3" s="1"/>
  <c r="E26" i="1"/>
  <c r="F23" i="1"/>
  <c r="E25" i="3" l="1"/>
  <c r="E26" i="3"/>
  <c r="G23" i="1"/>
  <c r="G25" i="1" s="1"/>
  <c r="F25" i="1"/>
  <c r="F25" i="3" l="1"/>
  <c r="G25" i="3"/>
  <c r="F26" i="1"/>
  <c r="H25" i="1"/>
  <c r="G26" i="1"/>
  <c r="H17" i="1"/>
  <c r="G29" i="1" l="1"/>
  <c r="G30" i="1" s="1"/>
  <c r="H17" i="2"/>
  <c r="D29" i="1"/>
  <c r="C29" i="1"/>
  <c r="E29" i="1"/>
  <c r="E33" i="1" s="1"/>
  <c r="F29" i="1"/>
  <c r="F30" i="1" s="1"/>
  <c r="H25" i="3"/>
  <c r="G26" i="3"/>
  <c r="H26" i="1"/>
  <c r="F26" i="3"/>
  <c r="E29" i="2" l="1"/>
  <c r="E29" i="3" s="1"/>
  <c r="D29" i="2"/>
  <c r="D29" i="3" s="1"/>
  <c r="C29" i="2"/>
  <c r="C29" i="3" s="1"/>
  <c r="G29" i="2"/>
  <c r="G29" i="3" s="1"/>
  <c r="F29" i="2"/>
  <c r="E30" i="1"/>
  <c r="C30" i="1"/>
  <c r="C33" i="1"/>
  <c r="D30" i="1"/>
  <c r="H26" i="3"/>
  <c r="D33" i="1"/>
  <c r="F30" i="2" l="1"/>
  <c r="F33" i="2"/>
  <c r="G30" i="2"/>
  <c r="G33" i="2"/>
  <c r="H29" i="2"/>
  <c r="C30" i="2"/>
  <c r="C30" i="3" s="1"/>
  <c r="C33" i="2"/>
  <c r="F29" i="3"/>
  <c r="H29" i="3" s="1"/>
  <c r="D30" i="2"/>
  <c r="D34" i="2" s="1"/>
  <c r="D33" i="2"/>
  <c r="E30" i="2"/>
  <c r="E34" i="2" s="1"/>
  <c r="E33" i="2"/>
  <c r="E33" i="3" s="1"/>
  <c r="C34" i="1"/>
  <c r="D34" i="1"/>
  <c r="E34" i="1"/>
  <c r="F33" i="1"/>
  <c r="F33" i="3" l="1"/>
  <c r="D35" i="2"/>
  <c r="D37" i="2" s="1"/>
  <c r="D38" i="2" s="1"/>
  <c r="D33" i="3"/>
  <c r="E35" i="2"/>
  <c r="E37" i="2" s="1"/>
  <c r="E38" i="2" s="1"/>
  <c r="G34" i="2"/>
  <c r="G35" i="2" s="1"/>
  <c r="G37" i="2" s="1"/>
  <c r="G38" i="2" s="1"/>
  <c r="G30" i="3"/>
  <c r="E30" i="3"/>
  <c r="F34" i="2"/>
  <c r="F35" i="2" s="1"/>
  <c r="F37" i="2" s="1"/>
  <c r="F38" i="2" s="1"/>
  <c r="F30" i="3"/>
  <c r="H33" i="2"/>
  <c r="C33" i="3"/>
  <c r="E34" i="3"/>
  <c r="H30" i="2"/>
  <c r="C34" i="2"/>
  <c r="D30" i="3"/>
  <c r="C35" i="1"/>
  <c r="D35" i="1"/>
  <c r="D34" i="3"/>
  <c r="E35" i="1"/>
  <c r="F34" i="1"/>
  <c r="D37" i="1" l="1"/>
  <c r="D36" i="3" s="1"/>
  <c r="H34" i="2"/>
  <c r="H35" i="2" s="1"/>
  <c r="C37" i="1"/>
  <c r="C38" i="1" s="1"/>
  <c r="E37" i="1"/>
  <c r="E38" i="1" s="1"/>
  <c r="F34" i="3"/>
  <c r="C35" i="2"/>
  <c r="C37" i="2" s="1"/>
  <c r="C38" i="2" s="1"/>
  <c r="C34" i="3"/>
  <c r="D35" i="3"/>
  <c r="E35" i="3"/>
  <c r="G33" i="1"/>
  <c r="H29" i="1"/>
  <c r="F35" i="1"/>
  <c r="E36" i="3" l="1"/>
  <c r="C35" i="3"/>
  <c r="F37" i="1"/>
  <c r="F36" i="3" s="1"/>
  <c r="D38" i="1"/>
  <c r="D37" i="3" s="1"/>
  <c r="C36" i="3"/>
  <c r="H37" i="2"/>
  <c r="H38" i="2" s="1"/>
  <c r="C40" i="2" s="1"/>
  <c r="F35" i="3"/>
  <c r="C37" i="3"/>
  <c r="H33" i="1"/>
  <c r="H33" i="3" s="1"/>
  <c r="G33" i="3"/>
  <c r="E37" i="3"/>
  <c r="H30" i="1"/>
  <c r="H30" i="3" s="1"/>
  <c r="G34" i="1"/>
  <c r="G34" i="3" s="1"/>
  <c r="F38" i="1" l="1"/>
  <c r="F37" i="3" s="1"/>
  <c r="G35" i="1"/>
  <c r="H34" i="1"/>
  <c r="G37" i="1" l="1"/>
  <c r="G36" i="3" s="1"/>
  <c r="H35" i="1"/>
  <c r="H35" i="3" s="1"/>
  <c r="H34" i="3"/>
  <c r="G35" i="3"/>
  <c r="G38" i="1" l="1"/>
  <c r="G37" i="3" s="1"/>
  <c r="H37" i="1"/>
  <c r="H36" i="3" l="1"/>
  <c r="H38" i="1"/>
  <c r="C40" i="1" s="1"/>
  <c r="H37" i="3" l="1"/>
  <c r="C39" i="3" s="1"/>
</calcChain>
</file>

<file path=xl/sharedStrings.xml><?xml version="1.0" encoding="utf-8"?>
<sst xmlns="http://schemas.openxmlformats.org/spreadsheetml/2006/main" count="210" uniqueCount="73">
  <si>
    <t>PLEASE COMPLETE ALL FIELDS IN GREEN BOXES</t>
  </si>
  <si>
    <t>Appointment Type</t>
  </si>
  <si>
    <t>Year 1</t>
  </si>
  <si>
    <t>Year 2</t>
  </si>
  <si>
    <t>Year 3</t>
  </si>
  <si>
    <t>Year 4</t>
  </si>
  <si>
    <t>Year 5</t>
  </si>
  <si>
    <t>Base Salary</t>
  </si>
  <si>
    <t>PI Name</t>
  </si>
  <si>
    <t>Project Start Date</t>
  </si>
  <si>
    <t>UT Base Salary Escalation Rate</t>
  </si>
  <si>
    <t>UT PI Fringe Benefit Rate</t>
  </si>
  <si>
    <t>Project F&amp;A Rate</t>
  </si>
  <si>
    <t>Project End Date</t>
  </si>
  <si>
    <t>Actual Cost of Effort</t>
  </si>
  <si>
    <t>Maximum Costs Allowable on NIH Budget</t>
  </si>
  <si>
    <t>Total</t>
  </si>
  <si>
    <t>IndirectCostType</t>
  </si>
  <si>
    <t>Rate</t>
  </si>
  <si>
    <t>AppointmentType</t>
  </si>
  <si>
    <t>NIH Budgeted Salary*</t>
  </si>
  <si>
    <t>NIH Budgeted Fringe Benefits*</t>
  </si>
  <si>
    <t>On Campus - Research  (51%)</t>
  </si>
  <si>
    <t>On Campus - Instruction  (53%)</t>
  </si>
  <si>
    <t>On Campus - Other Activity  (38%)</t>
  </si>
  <si>
    <t>Off Campus - Research  (26%)</t>
  </si>
  <si>
    <t>Off Campus - Instruction  (26%)</t>
  </si>
  <si>
    <t>Off Campus - Other Activity  (26%)</t>
  </si>
  <si>
    <t xml:space="preserve">Project Effort (Person Months) </t>
  </si>
  <si>
    <t>Actual Salary Cost</t>
  </si>
  <si>
    <t>Actual Fringe Benefits Cost</t>
  </si>
  <si>
    <r>
      <t xml:space="preserve">Current NIH Salary Cap (12 month) </t>
    </r>
    <r>
      <rPr>
        <vertAlign val="superscript"/>
        <sz val="11"/>
        <color theme="1"/>
        <rFont val="Calibri"/>
        <family val="2"/>
        <scheme val="minor"/>
      </rPr>
      <t>1</t>
    </r>
  </si>
  <si>
    <r>
      <t xml:space="preserve">Current NIH Salary Cap (9 month) </t>
    </r>
    <r>
      <rPr>
        <vertAlign val="superscript"/>
        <sz val="11"/>
        <color theme="1"/>
        <rFont val="Calibri"/>
        <family val="2"/>
        <scheme val="minor"/>
      </rPr>
      <t>1</t>
    </r>
  </si>
  <si>
    <r>
      <rPr>
        <vertAlign val="superscript"/>
        <sz val="10"/>
        <color theme="1"/>
        <rFont val="Calibri"/>
        <family val="2"/>
        <scheme val="minor"/>
      </rPr>
      <t xml:space="preserve">2 </t>
    </r>
    <r>
      <rPr>
        <sz val="10"/>
        <color theme="1"/>
        <rFont val="Calibri"/>
        <family val="2"/>
        <scheme val="minor"/>
      </rPr>
      <t xml:space="preserve">If $0 appears on lines 33 through 34, then this individual </t>
    </r>
    <r>
      <rPr>
        <u/>
        <sz val="10"/>
        <color theme="1"/>
        <rFont val="Calibri"/>
        <family val="2"/>
        <scheme val="minor"/>
      </rPr>
      <t>is not</t>
    </r>
    <r>
      <rPr>
        <sz val="10"/>
        <color theme="1"/>
        <rFont val="Calibri"/>
        <family val="2"/>
        <scheme val="minor"/>
      </rPr>
      <t xml:space="preserve"> over the salary cap in a given year and cost share is not applicable in that year.</t>
    </r>
  </si>
  <si>
    <t>UT PI Base Salary</t>
  </si>
  <si>
    <t>9-month</t>
  </si>
  <si>
    <t>12-month</t>
  </si>
  <si>
    <t>PLEASE NOTE THIS SHEET IS AN OVERVIEW OF PROJECT EFFORT AND IS LOCKED. PLEASE DO NOT MAKE EDITS TO THIS SHEET.</t>
  </si>
  <si>
    <t>See Sheets</t>
  </si>
  <si>
    <t>PLEASE COMPLETE ALL FIELDS IN GREEN BOXES
**NOTE: This sheet is only used when proposing both Academic &amp; Summer effort, and using different fringe benefit rates.**</t>
  </si>
  <si>
    <t xml:space="preserve">NIH Salary Cap Calculator Tool </t>
  </si>
  <si>
    <r>
      <t xml:space="preserve">This tool will allow researchers and support staff to do three things: 
1. Verify whether an individual's institutional base salary is over the NIH salary cap
2. Calculate how much of that individual’s salary and fringe benefits can be included in an NIH budget </t>
    </r>
    <r>
      <rPr>
        <b/>
        <sz val="11"/>
        <rFont val="Calibri"/>
        <family val="2"/>
        <scheme val="minor"/>
      </rPr>
      <t>(lines 28 - 30)</t>
    </r>
    <r>
      <rPr>
        <sz val="11"/>
        <color theme="1"/>
        <rFont val="Calibri"/>
        <family val="2"/>
        <scheme val="minor"/>
      </rPr>
      <t xml:space="preserve">
3. Calculate how much of that individual’s salary, fringe benefits, and indirect costs are unallowable costs </t>
    </r>
    <r>
      <rPr>
        <b/>
        <sz val="11"/>
        <rFont val="Calibri"/>
        <family val="2"/>
        <scheme val="minor"/>
      </rPr>
      <t>(lines 32-39)</t>
    </r>
    <r>
      <rPr>
        <sz val="11"/>
        <color theme="1"/>
        <rFont val="Calibri"/>
        <family val="2"/>
        <scheme val="minor"/>
      </rPr>
      <t xml:space="preserve">
For more information, please refer to the following policies:</t>
    </r>
  </si>
  <si>
    <t>Unallowable Costs (If Applicable)</t>
  </si>
  <si>
    <r>
      <t xml:space="preserve">Unallowable Salary </t>
    </r>
    <r>
      <rPr>
        <vertAlign val="superscript"/>
        <sz val="11"/>
        <rFont val="Calibri"/>
        <family val="2"/>
        <scheme val="minor"/>
      </rPr>
      <t>2</t>
    </r>
  </si>
  <si>
    <r>
      <t xml:space="preserve">Unallowable Fringe Benefits </t>
    </r>
    <r>
      <rPr>
        <vertAlign val="superscript"/>
        <sz val="11"/>
        <rFont val="Calibri"/>
        <family val="2"/>
        <scheme val="minor"/>
      </rPr>
      <t>2</t>
    </r>
  </si>
  <si>
    <t>Total Unallowable Direct Costs</t>
  </si>
  <si>
    <t>Unallowable F&amp;A Recovery</t>
  </si>
  <si>
    <t>Total Unallowable Costs</t>
  </si>
  <si>
    <t>Total Unallowable Costs for All Years</t>
  </si>
  <si>
    <t>This tool will allow researchers and support staff to do three things: 
1. Verify whether an individual's institutional base salary is over the NIH salary cap
2. Calculate how much of that individual’s salary and fringe benefits can be included in an NIH budget (lines 28 - 30)
3. Calculate how much of that individual’s salary, fringe benefits, and indirect costs are unallowable costs (lines 32-39)
For more information, please refer to the following policies:</t>
  </si>
  <si>
    <t>UTK Rates</t>
  </si>
  <si>
    <t>Effective</t>
  </si>
  <si>
    <t>F&amp;A Rate Type</t>
  </si>
  <si>
    <r>
      <t xml:space="preserve">UTK Research </t>
    </r>
    <r>
      <rPr>
        <b/>
        <sz val="8"/>
        <rFont val="Arial"/>
        <family val="2"/>
      </rPr>
      <t>ON</t>
    </r>
    <r>
      <rPr>
        <sz val="8"/>
        <rFont val="Arial"/>
        <family val="2"/>
      </rPr>
      <t>-Campus</t>
    </r>
  </si>
  <si>
    <r>
      <t xml:space="preserve">UTK Research </t>
    </r>
    <r>
      <rPr>
        <b/>
        <sz val="8"/>
        <rFont val="Arial"/>
        <family val="2"/>
      </rPr>
      <t>OFF</t>
    </r>
    <r>
      <rPr>
        <sz val="8"/>
        <rFont val="Arial"/>
        <family val="2"/>
      </rPr>
      <t>-Campus</t>
    </r>
  </si>
  <si>
    <r>
      <t xml:space="preserve">UTK Instruction </t>
    </r>
    <r>
      <rPr>
        <b/>
        <sz val="8"/>
        <rFont val="Arial"/>
        <family val="2"/>
      </rPr>
      <t>ON</t>
    </r>
    <r>
      <rPr>
        <sz val="8"/>
        <rFont val="Arial"/>
        <family val="2"/>
      </rPr>
      <t>-Campus</t>
    </r>
  </si>
  <si>
    <r>
      <t xml:space="preserve">UTK Instruction </t>
    </r>
    <r>
      <rPr>
        <b/>
        <sz val="8"/>
        <rFont val="Arial"/>
        <family val="2"/>
      </rPr>
      <t>OFF</t>
    </r>
    <r>
      <rPr>
        <sz val="8"/>
        <rFont val="Arial"/>
        <family val="2"/>
      </rPr>
      <t>-Campus</t>
    </r>
  </si>
  <si>
    <r>
      <t xml:space="preserve">UTK Other Spon. Activities - </t>
    </r>
    <r>
      <rPr>
        <b/>
        <sz val="8"/>
        <rFont val="Arial"/>
        <family val="2"/>
      </rPr>
      <t xml:space="preserve">ON </t>
    </r>
    <r>
      <rPr>
        <sz val="8"/>
        <rFont val="Arial"/>
        <family val="2"/>
      </rPr>
      <t>Campus</t>
    </r>
  </si>
  <si>
    <r>
      <t xml:space="preserve">UTK Other Spon. Activities - </t>
    </r>
    <r>
      <rPr>
        <b/>
        <sz val="8"/>
        <rFont val="Arial"/>
        <family val="2"/>
      </rPr>
      <t xml:space="preserve">OFF </t>
    </r>
    <r>
      <rPr>
        <sz val="8"/>
        <rFont val="Arial"/>
        <family val="2"/>
      </rPr>
      <t>Campus</t>
    </r>
  </si>
  <si>
    <t>F&amp;A Rate</t>
  </si>
  <si>
    <t>Yr1</t>
  </si>
  <si>
    <t>Yr2</t>
  </si>
  <si>
    <t>Yr3</t>
  </si>
  <si>
    <t>Yr4</t>
  </si>
  <si>
    <t>Yr5</t>
  </si>
  <si>
    <t>&lt;--- change font color to white and PROTECT THESE CELLS!</t>
  </si>
  <si>
    <t>Research ON-Campus</t>
  </si>
  <si>
    <t>Research OFF-Campus</t>
  </si>
  <si>
    <t>Instruction ON-Campus</t>
  </si>
  <si>
    <t>Instruction OFF-Campus</t>
  </si>
  <si>
    <t>Other Spon. Activities - ON Campus</t>
  </si>
  <si>
    <t>Other Spon. Activities - OFF Campus</t>
  </si>
  <si>
    <r>
      <rPr>
        <vertAlign val="superscript"/>
        <sz val="10"/>
        <rFont val="Calibri"/>
        <family val="2"/>
        <scheme val="minor"/>
      </rPr>
      <t>1</t>
    </r>
    <r>
      <rPr>
        <sz val="10"/>
        <rFont val="Calibri"/>
        <family val="2"/>
        <scheme val="minor"/>
      </rPr>
      <t xml:space="preserve"> Last updated 02/3/21. The Office of Research and Engagement will make every effort to update this tool to reflect the current NIH salary cap level, but it is the responsibility of the user to verify the current cap prior to using this 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</si>
</sst>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0.0%"/>
    <numFmt numFmtId="166" formatCode="0.000%"/>
    <numFmt numFmtId="167" formatCode="0.0;0.0;0.0%"/>
    <numFmt numFmtId="168" formatCode="0.000%;0.000%;0.000%"/>
  </numFmts>
  <fonts count="24"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b/>
      <sz val="11"/>
      <name val="Calibri"/>
      <family val="2"/>
      <scheme val="minor"/>
    </font>
    <font>
      <vertAlign val="superscript"/>
      <sz val="11"/>
      <name val="Calibri"/>
      <family val="2"/>
      <scheme val="minor"/>
    </font>
    <font>
      <u/>
      <sz val="11"/>
      <color theme="10"/>
      <name val="Calibri"/>
      <family val="2"/>
      <scheme val="minor"/>
    </font>
    <font>
      <b/>
      <i/>
      <sz val="11"/>
      <color theme="1"/>
      <name val="Calibri"/>
      <family val="2"/>
      <scheme val="minor"/>
    </font>
    <font>
      <sz val="10"/>
      <color theme="1"/>
      <name val="Calibri"/>
      <family val="2"/>
      <scheme val="minor"/>
    </font>
    <font>
      <sz val="10"/>
      <name val="Calibri"/>
      <family val="2"/>
      <scheme val="minor"/>
    </font>
    <font>
      <vertAlign val="superscript"/>
      <sz val="10"/>
      <color theme="1"/>
      <name val="Calibri"/>
      <family val="2"/>
      <scheme val="minor"/>
    </font>
    <font>
      <u/>
      <sz val="10"/>
      <color theme="1"/>
      <name val="Calibri"/>
      <family val="2"/>
      <scheme val="minor"/>
    </font>
    <font>
      <vertAlign val="superscript"/>
      <sz val="11"/>
      <color theme="1"/>
      <name val="Calibri"/>
      <family val="2"/>
      <scheme val="minor"/>
    </font>
    <font>
      <vertAlign val="superscript"/>
      <sz val="10"/>
      <name val="Calibri"/>
      <family val="2"/>
      <scheme val="minor"/>
    </font>
    <font>
      <sz val="11"/>
      <color theme="1"/>
      <name val="Calibri"/>
      <family val="2"/>
      <scheme val="minor"/>
    </font>
    <font>
      <i/>
      <sz val="11"/>
      <color theme="1"/>
      <name val="Calibri"/>
      <family val="2"/>
      <scheme val="minor"/>
    </font>
    <font>
      <sz val="10"/>
      <name val="Arial"/>
      <family val="2"/>
    </font>
    <font>
      <b/>
      <sz val="8.5"/>
      <name val="Arial"/>
      <family val="2"/>
    </font>
    <font>
      <b/>
      <sz val="8"/>
      <name val="Arial"/>
      <family val="2"/>
    </font>
    <font>
      <b/>
      <sz val="8"/>
      <color rgb="FFFF0000"/>
      <name val="Arial"/>
      <family val="2"/>
    </font>
    <font>
      <b/>
      <sz val="8"/>
      <color rgb="FF3333FF"/>
      <name val="Arial"/>
      <family val="2"/>
    </font>
    <font>
      <sz val="8"/>
      <name val="Arial"/>
      <family val="2"/>
    </font>
    <font>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CFFCC"/>
        <bgColor indexed="64"/>
      </patternFill>
    </fill>
    <fill>
      <patternFill patternType="solid">
        <fgColor rgb="FFFFFF00"/>
        <bgColor indexed="64"/>
      </patternFill>
    </fill>
    <fill>
      <patternFill patternType="solid">
        <fgColor theme="2"/>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43">
    <xf numFmtId="0" fontId="0" fillId="0" borderId="0" xfId="0"/>
    <xf numFmtId="0" fontId="5" fillId="2" borderId="7" xfId="0" applyFont="1" applyFill="1" applyBorder="1" applyAlignment="1" applyProtection="1">
      <alignment horizontal="left"/>
    </xf>
    <xf numFmtId="0" fontId="5" fillId="0" borderId="13" xfId="0" applyFont="1" applyFill="1" applyBorder="1" applyAlignment="1" applyProtection="1">
      <alignment horizontal="left"/>
    </xf>
    <xf numFmtId="164" fontId="4" fillId="0" borderId="13" xfId="0" applyNumberFormat="1" applyFont="1" applyFill="1" applyBorder="1" applyAlignment="1" applyProtection="1">
      <alignment horizontal="right"/>
    </xf>
    <xf numFmtId="0" fontId="5" fillId="0" borderId="0" xfId="0" applyFont="1" applyFill="1" applyBorder="1" applyAlignment="1" applyProtection="1">
      <alignment horizontal="left"/>
    </xf>
    <xf numFmtId="164" fontId="4" fillId="0" borderId="0" xfId="0" applyNumberFormat="1" applyFont="1" applyFill="1" applyBorder="1" applyAlignment="1" applyProtection="1">
      <alignment horizontal="right"/>
    </xf>
    <xf numFmtId="164" fontId="5" fillId="0" borderId="0" xfId="0" applyNumberFormat="1" applyFont="1" applyFill="1" applyBorder="1" applyAlignment="1" applyProtection="1">
      <alignment horizontal="right"/>
    </xf>
    <xf numFmtId="0" fontId="2" fillId="2" borderId="1" xfId="0" applyFont="1" applyFill="1" applyBorder="1" applyAlignment="1" applyProtection="1">
      <alignment horizontal="left"/>
    </xf>
    <xf numFmtId="164" fontId="2" fillId="2" borderId="1" xfId="0" applyNumberFormat="1" applyFont="1" applyFill="1" applyBorder="1" applyAlignment="1" applyProtection="1">
      <alignment horizontal="right"/>
    </xf>
    <xf numFmtId="164" fontId="0" fillId="2" borderId="1" xfId="0" applyNumberFormat="1" applyFill="1" applyBorder="1" applyAlignment="1" applyProtection="1">
      <alignment horizontal="center"/>
    </xf>
    <xf numFmtId="0" fontId="4" fillId="2" borderId="1" xfId="0" applyFont="1" applyFill="1" applyBorder="1" applyAlignment="1" applyProtection="1">
      <alignment horizontal="left"/>
    </xf>
    <xf numFmtId="0" fontId="4" fillId="2" borderId="6" xfId="0" applyFont="1" applyFill="1" applyBorder="1" applyAlignment="1" applyProtection="1">
      <alignment horizontal="left"/>
    </xf>
    <xf numFmtId="0" fontId="0" fillId="0" borderId="0" xfId="0" applyProtection="1"/>
    <xf numFmtId="0" fontId="0" fillId="2" borderId="1" xfId="0" applyFill="1" applyBorder="1" applyProtection="1"/>
    <xf numFmtId="0" fontId="1" fillId="2" borderId="1" xfId="0" applyFont="1" applyFill="1" applyBorder="1" applyProtection="1"/>
    <xf numFmtId="0" fontId="1" fillId="2" borderId="1" xfId="0" applyFont="1" applyFill="1" applyBorder="1" applyAlignment="1" applyProtection="1">
      <alignment horizontal="center"/>
    </xf>
    <xf numFmtId="0" fontId="0" fillId="2" borderId="1" xfId="0" applyFont="1" applyFill="1" applyBorder="1" applyProtection="1"/>
    <xf numFmtId="0" fontId="0" fillId="0" borderId="0" xfId="0" applyFont="1" applyFill="1" applyProtection="1"/>
    <xf numFmtId="2" fontId="0" fillId="0" borderId="0" xfId="0" applyNumberFormat="1" applyProtection="1"/>
    <xf numFmtId="164" fontId="0" fillId="2" borderId="0" xfId="0" applyNumberFormat="1" applyFill="1" applyAlignment="1" applyProtection="1">
      <alignment vertical="center"/>
    </xf>
    <xf numFmtId="0" fontId="5" fillId="2" borderId="1" xfId="0" applyFont="1" applyFill="1" applyBorder="1" applyProtection="1"/>
    <xf numFmtId="0" fontId="5" fillId="2" borderId="1" xfId="0" applyFont="1" applyFill="1" applyBorder="1" applyAlignment="1" applyProtection="1">
      <alignment horizontal="center"/>
    </xf>
    <xf numFmtId="164" fontId="4" fillId="2" borderId="1" xfId="0" applyNumberFormat="1" applyFont="1" applyFill="1" applyBorder="1" applyAlignment="1" applyProtection="1">
      <alignment horizontal="right"/>
    </xf>
    <xf numFmtId="0" fontId="2" fillId="0" borderId="0" xfId="0" applyFont="1" applyFill="1" applyBorder="1" applyAlignment="1" applyProtection="1">
      <alignment horizontal="center"/>
    </xf>
    <xf numFmtId="0" fontId="1" fillId="2" borderId="6" xfId="0" applyFont="1" applyFill="1" applyBorder="1" applyAlignment="1" applyProtection="1">
      <alignment horizontal="center"/>
    </xf>
    <xf numFmtId="0" fontId="5" fillId="2" borderId="6" xfId="0" applyFont="1" applyFill="1" applyBorder="1" applyAlignment="1" applyProtection="1">
      <alignment horizontal="center"/>
    </xf>
    <xf numFmtId="164" fontId="4" fillId="2" borderId="6" xfId="0" applyNumberFormat="1" applyFont="1" applyFill="1" applyBorder="1" applyAlignment="1" applyProtection="1">
      <alignment horizontal="right"/>
    </xf>
    <xf numFmtId="164" fontId="4" fillId="2" borderId="7" xfId="0" applyNumberFormat="1" applyFont="1" applyFill="1" applyBorder="1" applyAlignment="1" applyProtection="1">
      <alignment horizontal="right"/>
    </xf>
    <xf numFmtId="164" fontId="0" fillId="2" borderId="0" xfId="0" applyNumberFormat="1" applyFill="1" applyAlignment="1" applyProtection="1">
      <alignment horizontal="right"/>
    </xf>
    <xf numFmtId="0" fontId="7" fillId="2" borderId="11" xfId="1" applyFill="1" applyBorder="1" applyAlignment="1" applyProtection="1">
      <alignment horizontal="center" vertical="top" wrapText="1"/>
    </xf>
    <xf numFmtId="0" fontId="7" fillId="2" borderId="14" xfId="1" applyFill="1" applyBorder="1" applyAlignment="1" applyProtection="1">
      <alignment horizontal="center" vertical="top" wrapText="1"/>
    </xf>
    <xf numFmtId="0" fontId="7" fillId="2" borderId="12" xfId="1" applyFill="1" applyBorder="1" applyAlignment="1" applyProtection="1">
      <alignment horizontal="center" vertical="top" wrapText="1"/>
    </xf>
    <xf numFmtId="164" fontId="0" fillId="3" borderId="1" xfId="0" applyNumberFormat="1" applyFill="1" applyBorder="1" applyAlignment="1" applyProtection="1">
      <alignment horizontal="center"/>
    </xf>
    <xf numFmtId="164" fontId="0" fillId="3" borderId="1" xfId="2" applyNumberFormat="1" applyFont="1" applyFill="1" applyBorder="1" applyAlignment="1" applyProtection="1">
      <alignment horizontal="center"/>
    </xf>
    <xf numFmtId="9" fontId="0" fillId="3" borderId="1" xfId="0" applyNumberFormat="1" applyFill="1" applyBorder="1" applyAlignment="1" applyProtection="1">
      <alignment horizontal="center"/>
    </xf>
    <xf numFmtId="9" fontId="16" fillId="3" borderId="1" xfId="0" applyNumberFormat="1" applyFont="1" applyFill="1" applyBorder="1" applyAlignment="1" applyProtection="1">
      <alignment horizontal="center"/>
    </xf>
    <xf numFmtId="164" fontId="0" fillId="2" borderId="1" xfId="0" applyNumberFormat="1" applyFill="1" applyBorder="1" applyAlignment="1" applyProtection="1">
      <alignment horizontal="right"/>
    </xf>
    <xf numFmtId="2" fontId="0" fillId="3" borderId="1" xfId="0" applyNumberFormat="1" applyFill="1" applyBorder="1" applyAlignment="1" applyProtection="1">
      <alignment horizontal="right"/>
    </xf>
    <xf numFmtId="0" fontId="7" fillId="2" borderId="3" xfId="1" applyFill="1" applyBorder="1" applyAlignment="1" applyProtection="1">
      <alignment horizontal="center" vertical="top" wrapText="1"/>
    </xf>
    <xf numFmtId="0" fontId="7" fillId="2" borderId="0" xfId="1" applyFill="1" applyBorder="1" applyAlignment="1" applyProtection="1">
      <alignment horizontal="center" vertical="top" wrapText="1"/>
    </xf>
    <xf numFmtId="0" fontId="7" fillId="2" borderId="10" xfId="1" applyFill="1" applyBorder="1" applyAlignment="1" applyProtection="1">
      <alignment horizontal="center" vertical="top" wrapText="1"/>
    </xf>
    <xf numFmtId="0" fontId="0" fillId="0" borderId="0" xfId="0" applyProtection="1">
      <protection locked="0"/>
    </xf>
    <xf numFmtId="0" fontId="0" fillId="0" borderId="0" xfId="0" applyAlignment="1" applyProtection="1">
      <protection locked="0"/>
    </xf>
    <xf numFmtId="0" fontId="0" fillId="0" borderId="0" xfId="0" applyBorder="1" applyProtection="1">
      <protection locked="0"/>
    </xf>
    <xf numFmtId="0" fontId="3" fillId="0" borderId="0" xfId="0" applyFont="1" applyProtection="1">
      <protection locked="0"/>
    </xf>
    <xf numFmtId="0" fontId="0" fillId="0" borderId="0" xfId="0" applyFill="1" applyProtection="1">
      <protection locked="0"/>
    </xf>
    <xf numFmtId="0" fontId="3" fillId="0" borderId="0" xfId="0" applyFont="1" applyFill="1" applyProtection="1">
      <protection locked="0"/>
    </xf>
    <xf numFmtId="0" fontId="8" fillId="0" borderId="0" xfId="0" applyFont="1" applyAlignment="1" applyProtection="1">
      <alignment horizontal="center" wrapText="1"/>
      <protection locked="0"/>
    </xf>
    <xf numFmtId="0" fontId="0" fillId="0" borderId="8" xfId="0" applyBorder="1" applyProtection="1">
      <protection locked="0"/>
    </xf>
    <xf numFmtId="9" fontId="0" fillId="0" borderId="9" xfId="0" applyNumberFormat="1" applyBorder="1" applyProtection="1">
      <protection locked="0"/>
    </xf>
    <xf numFmtId="0" fontId="0" fillId="0" borderId="3" xfId="0" applyBorder="1" applyProtection="1">
      <protection locked="0"/>
    </xf>
    <xf numFmtId="9" fontId="0" fillId="0" borderId="10" xfId="0" applyNumberFormat="1" applyBorder="1" applyProtection="1">
      <protection locked="0"/>
    </xf>
    <xf numFmtId="0" fontId="0" fillId="0" borderId="11" xfId="0" applyBorder="1" applyProtection="1">
      <protection locked="0"/>
    </xf>
    <xf numFmtId="9" fontId="0" fillId="0" borderId="12" xfId="0" applyNumberFormat="1" applyBorder="1" applyProtection="1">
      <protection locked="0"/>
    </xf>
    <xf numFmtId="0" fontId="0" fillId="0" borderId="0" xfId="0" applyFill="1" applyBorder="1" applyProtection="1">
      <protection locked="0"/>
    </xf>
    <xf numFmtId="0" fontId="0" fillId="0" borderId="8" xfId="0" applyFill="1" applyBorder="1" applyProtection="1">
      <protection locked="0"/>
    </xf>
    <xf numFmtId="1" fontId="0" fillId="0" borderId="9" xfId="0" applyNumberFormat="1" applyFill="1" applyBorder="1" applyProtection="1">
      <protection locked="0"/>
    </xf>
    <xf numFmtId="0" fontId="0" fillId="0" borderId="11" xfId="0" applyFill="1" applyBorder="1" applyProtection="1">
      <protection locked="0"/>
    </xf>
    <xf numFmtId="0" fontId="0" fillId="0" borderId="12" xfId="0" applyBorder="1" applyProtection="1">
      <protection locked="0"/>
    </xf>
    <xf numFmtId="164" fontId="0" fillId="2" borderId="1" xfId="0" applyNumberFormat="1" applyFill="1" applyBorder="1" applyAlignment="1" applyProtection="1">
      <alignment vertical="center"/>
    </xf>
    <xf numFmtId="0" fontId="7" fillId="2" borderId="3" xfId="1" applyFill="1" applyBorder="1" applyAlignment="1" applyProtection="1">
      <alignment horizontal="center" vertical="top" wrapText="1"/>
    </xf>
    <xf numFmtId="0" fontId="7" fillId="2" borderId="0" xfId="1" applyFill="1" applyBorder="1" applyAlignment="1" applyProtection="1">
      <alignment horizontal="center" vertical="top" wrapText="1"/>
    </xf>
    <xf numFmtId="0" fontId="7" fillId="2" borderId="10" xfId="1" applyFill="1" applyBorder="1" applyAlignment="1" applyProtection="1">
      <alignment horizontal="center" vertical="top" wrapText="1"/>
    </xf>
    <xf numFmtId="0" fontId="7" fillId="2" borderId="3" xfId="1" applyFill="1" applyBorder="1" applyAlignment="1" applyProtection="1">
      <alignment horizontal="center" vertical="top" wrapText="1"/>
    </xf>
    <xf numFmtId="0" fontId="7" fillId="2" borderId="0" xfId="1" applyFill="1" applyBorder="1" applyAlignment="1" applyProtection="1">
      <alignment horizontal="center" vertical="top" wrapText="1"/>
    </xf>
    <xf numFmtId="0" fontId="7" fillId="2" borderId="10" xfId="1" applyFill="1" applyBorder="1" applyAlignment="1" applyProtection="1">
      <alignment horizontal="center" vertical="top" wrapText="1"/>
    </xf>
    <xf numFmtId="0" fontId="3" fillId="0" borderId="0" xfId="0" applyFont="1" applyProtection="1"/>
    <xf numFmtId="0" fontId="3" fillId="0" borderId="0" xfId="0" applyFont="1" applyFill="1" applyBorder="1" applyProtection="1"/>
    <xf numFmtId="0" fontId="3" fillId="0" borderId="8" xfId="0" applyFont="1" applyFill="1" applyBorder="1" applyProtection="1"/>
    <xf numFmtId="1" fontId="3" fillId="0" borderId="9" xfId="0" applyNumberFormat="1" applyFont="1" applyFill="1" applyBorder="1" applyProtection="1"/>
    <xf numFmtId="0" fontId="3" fillId="0" borderId="11" xfId="0" applyFont="1" applyFill="1" applyBorder="1" applyProtection="1"/>
    <xf numFmtId="0" fontId="3" fillId="0" borderId="12" xfId="0" applyFont="1" applyBorder="1" applyProtection="1"/>
    <xf numFmtId="0" fontId="17" fillId="0" borderId="1" xfId="0" applyFont="1" applyBorder="1"/>
    <xf numFmtId="0" fontId="18" fillId="0" borderId="1" xfId="0" applyFont="1" applyBorder="1" applyAlignment="1" applyProtection="1">
      <alignment vertical="center"/>
    </xf>
    <xf numFmtId="14" fontId="19" fillId="4" borderId="1" xfId="0" applyNumberFormat="1" applyFont="1" applyFill="1" applyBorder="1" applyAlignment="1" applyProtection="1">
      <alignment horizontal="right" vertical="center" wrapText="1"/>
    </xf>
    <xf numFmtId="14" fontId="20" fillId="5" borderId="1" xfId="0" applyNumberFormat="1" applyFont="1" applyFill="1" applyBorder="1" applyAlignment="1" applyProtection="1">
      <alignment horizontal="right" vertical="center" wrapText="1"/>
    </xf>
    <xf numFmtId="14" fontId="21" fillId="6" borderId="1" xfId="0" applyNumberFormat="1" applyFont="1" applyFill="1" applyBorder="1" applyAlignment="1" applyProtection="1">
      <alignment horizontal="right" vertical="center" wrapText="1"/>
    </xf>
    <xf numFmtId="0" fontId="22" fillId="0" borderId="1" xfId="0" applyFont="1" applyBorder="1" applyProtection="1"/>
    <xf numFmtId="165" fontId="19" fillId="4" borderId="1" xfId="0" applyNumberFormat="1" applyFont="1" applyFill="1" applyBorder="1" applyProtection="1"/>
    <xf numFmtId="165" fontId="20" fillId="5" borderId="1" xfId="0" applyNumberFormat="1" applyFont="1" applyFill="1" applyBorder="1" applyProtection="1"/>
    <xf numFmtId="165" fontId="21" fillId="6" borderId="1" xfId="0" applyNumberFormat="1" applyFont="1" applyFill="1" applyBorder="1" applyProtection="1"/>
    <xf numFmtId="9" fontId="4" fillId="2" borderId="6" xfId="3" applyFont="1" applyFill="1" applyBorder="1" applyAlignment="1" applyProtection="1">
      <alignment horizontal="right"/>
    </xf>
    <xf numFmtId="0" fontId="23" fillId="0" borderId="0" xfId="0" applyFont="1" applyBorder="1" applyProtection="1">
      <protection hidden="1"/>
    </xf>
    <xf numFmtId="166" fontId="23" fillId="0" borderId="0" xfId="0" applyNumberFormat="1" applyFont="1" applyBorder="1" applyProtection="1">
      <protection hidden="1"/>
    </xf>
    <xf numFmtId="166" fontId="23" fillId="0" borderId="0" xfId="0" quotePrefix="1" applyNumberFormat="1" applyFont="1" applyBorder="1" applyProtection="1">
      <protection hidden="1"/>
    </xf>
    <xf numFmtId="0" fontId="23" fillId="0" borderId="0" xfId="0" applyFont="1" applyProtection="1">
      <protection hidden="1"/>
    </xf>
    <xf numFmtId="167" fontId="23" fillId="0" borderId="0" xfId="0" applyNumberFormat="1" applyFont="1" applyBorder="1" applyProtection="1">
      <protection hidden="1"/>
    </xf>
    <xf numFmtId="167" fontId="23" fillId="0" borderId="0" xfId="0" quotePrefix="1" applyNumberFormat="1" applyFont="1" applyBorder="1" applyProtection="1">
      <protection hidden="1"/>
    </xf>
    <xf numFmtId="0" fontId="23" fillId="0" borderId="0" xfId="0" applyNumberFormat="1" applyFont="1" applyBorder="1" applyProtection="1">
      <protection hidden="1"/>
    </xf>
    <xf numFmtId="168" fontId="23" fillId="0" borderId="0" xfId="0" applyNumberFormat="1" applyFont="1" applyBorder="1" applyProtection="1">
      <protection hidden="1"/>
    </xf>
    <xf numFmtId="168" fontId="23" fillId="0" borderId="0" xfId="0" quotePrefix="1" applyNumberFormat="1" applyFont="1" applyBorder="1" applyProtection="1">
      <protection hidden="1"/>
    </xf>
    <xf numFmtId="2" fontId="0" fillId="7" borderId="1" xfId="0" applyNumberFormat="1" applyFill="1" applyBorder="1" applyAlignment="1" applyProtection="1">
      <alignment horizontal="right"/>
      <protection locked="0"/>
    </xf>
    <xf numFmtId="9" fontId="0" fillId="7" borderId="1" xfId="0" applyNumberFormat="1" applyFill="1" applyBorder="1" applyAlignment="1" applyProtection="1">
      <alignment horizontal="center"/>
      <protection locked="0"/>
    </xf>
    <xf numFmtId="164" fontId="0" fillId="7" borderId="1" xfId="2" applyNumberFormat="1" applyFont="1" applyFill="1" applyBorder="1" applyAlignment="1" applyProtection="1">
      <alignment horizontal="center"/>
      <protection locked="0"/>
    </xf>
    <xf numFmtId="0" fontId="10" fillId="0" borderId="8" xfId="0" applyFont="1" applyFill="1" applyBorder="1" applyAlignment="1" applyProtection="1">
      <alignment horizontal="left" wrapText="1"/>
    </xf>
    <xf numFmtId="0" fontId="9" fillId="0" borderId="13" xfId="0" applyFont="1" applyBorder="1" applyAlignment="1" applyProtection="1">
      <alignment horizontal="left" wrapText="1"/>
    </xf>
    <xf numFmtId="0" fontId="9" fillId="0" borderId="9" xfId="0" applyFont="1" applyBorder="1" applyAlignment="1" applyProtection="1">
      <alignment horizontal="left" wrapText="1"/>
    </xf>
    <xf numFmtId="0" fontId="9" fillId="0" borderId="11" xfId="0" applyFont="1" applyBorder="1" applyAlignment="1" applyProtection="1">
      <alignment horizontal="left" wrapText="1"/>
    </xf>
    <xf numFmtId="0" fontId="9" fillId="0" borderId="14" xfId="0" applyFont="1" applyBorder="1" applyAlignment="1" applyProtection="1">
      <alignment horizontal="left" wrapText="1"/>
    </xf>
    <xf numFmtId="0" fontId="9" fillId="0" borderId="12" xfId="0" applyFont="1" applyBorder="1" applyAlignment="1" applyProtection="1">
      <alignment horizontal="left" wrapText="1"/>
    </xf>
    <xf numFmtId="0" fontId="9" fillId="0" borderId="2" xfId="0" applyFont="1" applyFill="1" applyBorder="1" applyAlignment="1" applyProtection="1">
      <alignment horizontal="left" wrapText="1"/>
    </xf>
    <xf numFmtId="0" fontId="9" fillId="0" borderId="4"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0" fillId="2" borderId="2"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5" xfId="0" applyFill="1" applyBorder="1" applyAlignment="1" applyProtection="1">
      <alignment horizontal="left" vertical="center"/>
    </xf>
    <xf numFmtId="9" fontId="0" fillId="7" borderId="2" xfId="0" applyNumberFormat="1" applyFill="1" applyBorder="1" applyAlignment="1" applyProtection="1">
      <alignment horizontal="center"/>
      <protection locked="0"/>
    </xf>
    <xf numFmtId="9" fontId="0" fillId="7" borderId="5" xfId="0" applyNumberFormat="1" applyFill="1" applyBorder="1" applyAlignment="1" applyProtection="1">
      <alignment horizontal="center"/>
      <protection locked="0"/>
    </xf>
    <xf numFmtId="14" fontId="0" fillId="7" borderId="1" xfId="0" applyNumberFormat="1" applyFill="1" applyBorder="1" applyAlignment="1" applyProtection="1">
      <alignment horizontal="center"/>
      <protection locked="0"/>
    </xf>
    <xf numFmtId="49" fontId="0" fillId="7" borderId="2"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0" fontId="0" fillId="2" borderId="2" xfId="0" applyFill="1" applyBorder="1" applyAlignment="1" applyProtection="1">
      <alignment horizontal="left"/>
    </xf>
    <xf numFmtId="0" fontId="0" fillId="2" borderId="4" xfId="0" applyFill="1" applyBorder="1" applyAlignment="1" applyProtection="1">
      <alignment horizontal="left"/>
    </xf>
    <xf numFmtId="0" fontId="0" fillId="2" borderId="5" xfId="0" applyFill="1" applyBorder="1" applyAlignment="1" applyProtection="1">
      <alignment horizontal="left"/>
    </xf>
    <xf numFmtId="0" fontId="1" fillId="2" borderId="8"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9"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2" xfId="0" applyFont="1" applyFill="1" applyBorder="1" applyAlignment="1" applyProtection="1">
      <alignment horizontal="center"/>
    </xf>
    <xf numFmtId="0" fontId="0" fillId="2" borderId="8" xfId="0" applyFont="1" applyFill="1" applyBorder="1" applyAlignment="1" applyProtection="1">
      <alignment horizontal="left" vertical="top" wrapText="1"/>
    </xf>
    <xf numFmtId="0" fontId="0" fillId="2" borderId="13"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0" fontId="0" fillId="2" borderId="3"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7" fillId="2" borderId="3" xfId="1" applyFill="1" applyBorder="1" applyAlignment="1" applyProtection="1">
      <alignment horizontal="center" vertical="top" wrapText="1"/>
    </xf>
    <xf numFmtId="0" fontId="7" fillId="2" borderId="0" xfId="1" applyFill="1" applyBorder="1" applyAlignment="1" applyProtection="1">
      <alignment horizontal="center" vertical="top" wrapText="1"/>
    </xf>
    <xf numFmtId="0" fontId="7" fillId="2" borderId="10" xfId="1" applyFill="1" applyBorder="1" applyAlignment="1" applyProtection="1">
      <alignment horizontal="center" vertical="top" wrapText="1"/>
    </xf>
    <xf numFmtId="0" fontId="0" fillId="7" borderId="1" xfId="0" applyFill="1" applyBorder="1" applyAlignment="1" applyProtection="1">
      <alignment horizontal="center"/>
      <protection locked="0"/>
    </xf>
    <xf numFmtId="2" fontId="0" fillId="2" borderId="2" xfId="0" applyNumberFormat="1" applyFill="1" applyBorder="1" applyAlignment="1" applyProtection="1">
      <alignment horizontal="center"/>
      <protection locked="0"/>
    </xf>
    <xf numFmtId="2" fontId="0" fillId="2" borderId="5" xfId="0" applyNumberFormat="1" applyFill="1" applyBorder="1" applyAlignment="1" applyProtection="1">
      <alignment horizontal="center"/>
      <protection locked="0"/>
    </xf>
    <xf numFmtId="0" fontId="2" fillId="2" borderId="11"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2" fillId="2" borderId="12" xfId="0" applyFont="1" applyFill="1" applyBorder="1" applyAlignment="1" applyProtection="1">
      <alignment horizontal="center" wrapText="1"/>
    </xf>
    <xf numFmtId="14" fontId="0" fillId="2" borderId="2"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9" fontId="0" fillId="3" borderId="2" xfId="0" applyNumberFormat="1" applyFill="1" applyBorder="1" applyAlignment="1" applyProtection="1">
      <alignment horizontal="center"/>
    </xf>
    <xf numFmtId="9" fontId="0" fillId="3" borderId="5" xfId="0" applyNumberFormat="1" applyFill="1" applyBorder="1" applyAlignment="1" applyProtection="1">
      <alignment horizontal="center"/>
    </xf>
    <xf numFmtId="0" fontId="0" fillId="3" borderId="1" xfId="0" applyFill="1" applyBorder="1" applyAlignment="1" applyProtection="1">
      <alignment horizontal="center"/>
    </xf>
    <xf numFmtId="14" fontId="0" fillId="3" borderId="1" xfId="0" applyNumberFormat="1" applyFill="1" applyBorder="1" applyAlignment="1" applyProtection="1">
      <alignment horizontal="center"/>
    </xf>
    <xf numFmtId="2" fontId="0" fillId="3" borderId="2" xfId="0" applyNumberFormat="1" applyFill="1" applyBorder="1" applyAlignment="1" applyProtection="1">
      <alignment horizontal="center"/>
    </xf>
    <xf numFmtId="2" fontId="0" fillId="3" borderId="5" xfId="0" applyNumberFormat="1" applyFill="1" applyBorder="1" applyAlignment="1" applyProtection="1">
      <alignment horizont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grants.nih.gov/grants/guide/notice-files/NOT-HS-21-007.html" TargetMode="External"/><Relationship Id="rId2" Type="http://schemas.openxmlformats.org/officeDocument/2006/relationships/hyperlink" Target="http://policy.tennessee.edu/fiscal_policy/fi0215/" TargetMode="External"/><Relationship Id="rId1" Type="http://schemas.openxmlformats.org/officeDocument/2006/relationships/hyperlink" Target="http://policy.tennessee.edu/fiscal_policy/fi0208/"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grants.nih.gov/grants/guide/notice-files/NOT-HS-21-007.html" TargetMode="External"/><Relationship Id="rId2" Type="http://schemas.openxmlformats.org/officeDocument/2006/relationships/hyperlink" Target="http://policy.tennessee.edu/fiscal_policy/fi0215/" TargetMode="External"/><Relationship Id="rId1" Type="http://schemas.openxmlformats.org/officeDocument/2006/relationships/hyperlink" Target="http://policy.tennessee.edu/fiscal_policy/fi020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grants.nih.gov/grants/guide/notice-files/NOT-HS-21-007.html" TargetMode="External"/><Relationship Id="rId2" Type="http://schemas.openxmlformats.org/officeDocument/2006/relationships/hyperlink" Target="http://policy.tennessee.edu/fiscal_policy/fi0215/" TargetMode="External"/><Relationship Id="rId1" Type="http://schemas.openxmlformats.org/officeDocument/2006/relationships/hyperlink" Target="http://policy.tennessee.edu/fiscal_policy/fi0208/"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28575</xdr:rowOff>
    </xdr:from>
    <xdr:to>
      <xdr:col>3</xdr:col>
      <xdr:colOff>142875</xdr:colOff>
      <xdr:row>13</xdr:row>
      <xdr:rowOff>47623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38125" y="2105025"/>
          <a:ext cx="3714750" cy="400048"/>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rgbClr val="0070C0"/>
              </a:solidFill>
            </a:rPr>
            <a:t>FI0208 – Sponsored Projects – Federal Salary Rate Limitation</a:t>
          </a:r>
        </a:p>
      </xdr:txBody>
    </xdr:sp>
    <xdr:clientData/>
  </xdr:twoCellAnchor>
  <xdr:twoCellAnchor>
    <xdr:from>
      <xdr:col>1</xdr:col>
      <xdr:colOff>47625</xdr:colOff>
      <xdr:row>12</xdr:row>
      <xdr:rowOff>76200</xdr:rowOff>
    </xdr:from>
    <xdr:to>
      <xdr:col>2</xdr:col>
      <xdr:colOff>762000</xdr:colOff>
      <xdr:row>13</xdr:row>
      <xdr:rowOff>123825</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76225" y="2190750"/>
          <a:ext cx="3248025" cy="2381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0070C0"/>
              </a:solidFill>
            </a:rPr>
            <a:t>FI0215 – Sponsored Projects – Effort Certification</a:t>
          </a:r>
        </a:p>
      </xdr:txBody>
    </xdr:sp>
    <xdr:clientData/>
  </xdr:twoCellAnchor>
  <xdr:oneCellAnchor>
    <xdr:from>
      <xdr:col>3</xdr:col>
      <xdr:colOff>733425</xdr:colOff>
      <xdr:row>11</xdr:row>
      <xdr:rowOff>47624</xdr:rowOff>
    </xdr:from>
    <xdr:ext cx="3654425" cy="436786"/>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4543425" y="2143124"/>
          <a:ext cx="36544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u="sng">
              <a:solidFill>
                <a:srgbClr val="0070C0"/>
              </a:solidFill>
            </a:rPr>
            <a:t>Guidance on Salary Limitation for Grants and Cooperative Agreements FY 2021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11</xdr:row>
      <xdr:rowOff>28575</xdr:rowOff>
    </xdr:from>
    <xdr:to>
      <xdr:col>3</xdr:col>
      <xdr:colOff>142875</xdr:colOff>
      <xdr:row>13</xdr:row>
      <xdr:rowOff>47623</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100-00000D000000}"/>
            </a:ext>
          </a:extLst>
        </xdr:cNvPr>
        <xdr:cNvSpPr txBox="1"/>
      </xdr:nvSpPr>
      <xdr:spPr>
        <a:xfrm>
          <a:off x="238125" y="2124075"/>
          <a:ext cx="3714750" cy="400048"/>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rgbClr val="0070C0"/>
              </a:solidFill>
            </a:rPr>
            <a:t>FI0208 – Sponsored Projects – Federal Salary Rate Limitation</a:t>
          </a:r>
        </a:p>
      </xdr:txBody>
    </xdr:sp>
    <xdr:clientData/>
  </xdr:twoCellAnchor>
  <xdr:twoCellAnchor>
    <xdr:from>
      <xdr:col>1</xdr:col>
      <xdr:colOff>47625</xdr:colOff>
      <xdr:row>12</xdr:row>
      <xdr:rowOff>76200</xdr:rowOff>
    </xdr:from>
    <xdr:to>
      <xdr:col>2</xdr:col>
      <xdr:colOff>762000</xdr:colOff>
      <xdr:row>13</xdr:row>
      <xdr:rowOff>123825</xdr:rowOff>
    </xdr:to>
    <xdr:sp macro="" textlink="">
      <xdr:nvSpPr>
        <xdr:cNvPr id="14" name="TextBox 13">
          <a:hlinkClick xmlns:r="http://schemas.openxmlformats.org/officeDocument/2006/relationships" r:id="rId2"/>
          <a:extLst>
            <a:ext uri="{FF2B5EF4-FFF2-40B4-BE49-F238E27FC236}">
              <a16:creationId xmlns:a16="http://schemas.microsoft.com/office/drawing/2014/main" id="{00000000-0008-0000-0100-00000E000000}"/>
            </a:ext>
          </a:extLst>
        </xdr:cNvPr>
        <xdr:cNvSpPr txBox="1"/>
      </xdr:nvSpPr>
      <xdr:spPr>
        <a:xfrm>
          <a:off x="276225" y="2362200"/>
          <a:ext cx="3248025" cy="2381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0070C0"/>
              </a:solidFill>
            </a:rPr>
            <a:t>FI0215 – Sponsored Projects – Effort Certification</a:t>
          </a:r>
        </a:p>
      </xdr:txBody>
    </xdr:sp>
    <xdr:clientData/>
  </xdr:twoCellAnchor>
  <xdr:twoCellAnchor>
    <xdr:from>
      <xdr:col>1</xdr:col>
      <xdr:colOff>9525</xdr:colOff>
      <xdr:row>11</xdr:row>
      <xdr:rowOff>28575</xdr:rowOff>
    </xdr:from>
    <xdr:to>
      <xdr:col>3</xdr:col>
      <xdr:colOff>142875</xdr:colOff>
      <xdr:row>13</xdr:row>
      <xdr:rowOff>47623</xdr:rowOff>
    </xdr:to>
    <xdr:sp macro="" textlink="">
      <xdr:nvSpPr>
        <xdr:cNvPr id="5" name="TextBox 4">
          <a:hlinkClick xmlns:r="http://schemas.openxmlformats.org/officeDocument/2006/relationships" r:id="rId1"/>
          <a:extLst>
            <a:ext uri="{FF2B5EF4-FFF2-40B4-BE49-F238E27FC236}">
              <a16:creationId xmlns:a16="http://schemas.microsoft.com/office/drawing/2014/main" id="{EBBFAAE1-CA6C-4081-B46F-C77BA01FFB9B}"/>
            </a:ext>
          </a:extLst>
        </xdr:cNvPr>
        <xdr:cNvSpPr txBox="1"/>
      </xdr:nvSpPr>
      <xdr:spPr>
        <a:xfrm>
          <a:off x="238125" y="2124075"/>
          <a:ext cx="3714750" cy="400048"/>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rgbClr val="0070C0"/>
              </a:solidFill>
            </a:rPr>
            <a:t>FI0208 – Sponsored Projects – Federal Salary Rate Limitation</a:t>
          </a:r>
        </a:p>
      </xdr:txBody>
    </xdr:sp>
    <xdr:clientData/>
  </xdr:twoCellAnchor>
  <xdr:twoCellAnchor>
    <xdr:from>
      <xdr:col>1</xdr:col>
      <xdr:colOff>47625</xdr:colOff>
      <xdr:row>12</xdr:row>
      <xdr:rowOff>76200</xdr:rowOff>
    </xdr:from>
    <xdr:to>
      <xdr:col>2</xdr:col>
      <xdr:colOff>762000</xdr:colOff>
      <xdr:row>13</xdr:row>
      <xdr:rowOff>123825</xdr:rowOff>
    </xdr:to>
    <xdr:sp macro="" textlink="">
      <xdr:nvSpPr>
        <xdr:cNvPr id="6" name="TextBox 5">
          <a:hlinkClick xmlns:r="http://schemas.openxmlformats.org/officeDocument/2006/relationships" r:id="rId2"/>
          <a:extLst>
            <a:ext uri="{FF2B5EF4-FFF2-40B4-BE49-F238E27FC236}">
              <a16:creationId xmlns:a16="http://schemas.microsoft.com/office/drawing/2014/main" id="{9C6D956C-79F2-4399-AA70-833FE00BD291}"/>
            </a:ext>
          </a:extLst>
        </xdr:cNvPr>
        <xdr:cNvSpPr txBox="1"/>
      </xdr:nvSpPr>
      <xdr:spPr>
        <a:xfrm>
          <a:off x="276225" y="2362200"/>
          <a:ext cx="3248025" cy="2381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0070C0"/>
              </a:solidFill>
            </a:rPr>
            <a:t>FI0215 – Sponsored Projects – Effort Certification</a:t>
          </a:r>
        </a:p>
      </xdr:txBody>
    </xdr:sp>
    <xdr:clientData/>
  </xdr:twoCellAnchor>
  <xdr:oneCellAnchor>
    <xdr:from>
      <xdr:col>3</xdr:col>
      <xdr:colOff>923925</xdr:colOff>
      <xdr:row>11</xdr:row>
      <xdr:rowOff>0</xdr:rowOff>
    </xdr:from>
    <xdr:ext cx="3654425" cy="436786"/>
    <xdr:sp macro="" textlink="">
      <xdr:nvSpPr>
        <xdr:cNvPr id="8" name="TextBox 7">
          <a:hlinkClick xmlns:r="http://schemas.openxmlformats.org/officeDocument/2006/relationships" r:id="rId3"/>
          <a:extLst>
            <a:ext uri="{FF2B5EF4-FFF2-40B4-BE49-F238E27FC236}">
              <a16:creationId xmlns:a16="http://schemas.microsoft.com/office/drawing/2014/main" id="{8255E80F-846C-4809-BCCC-26723543B2FE}"/>
            </a:ext>
          </a:extLst>
        </xdr:cNvPr>
        <xdr:cNvSpPr txBox="1"/>
      </xdr:nvSpPr>
      <xdr:spPr>
        <a:xfrm>
          <a:off x="4733925" y="2295525"/>
          <a:ext cx="36544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u="sng">
              <a:solidFill>
                <a:srgbClr val="0070C0"/>
              </a:solidFill>
            </a:rPr>
            <a:t>Guidance on Salary Limitation for Grants and Cooperative Agreements FY 2021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28575</xdr:rowOff>
    </xdr:from>
    <xdr:to>
      <xdr:col>3</xdr:col>
      <xdr:colOff>142875</xdr:colOff>
      <xdr:row>13</xdr:row>
      <xdr:rowOff>47623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200-000009000000}"/>
            </a:ext>
          </a:extLst>
        </xdr:cNvPr>
        <xdr:cNvSpPr txBox="1"/>
      </xdr:nvSpPr>
      <xdr:spPr>
        <a:xfrm>
          <a:off x="238125" y="2124075"/>
          <a:ext cx="3714750" cy="400048"/>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rgbClr val="0070C0"/>
              </a:solidFill>
            </a:rPr>
            <a:t>FI0208 – Sponsored Projects – Federal Salary Rate Limitation</a:t>
          </a:r>
        </a:p>
      </xdr:txBody>
    </xdr:sp>
    <xdr:clientData/>
  </xdr:twoCellAnchor>
  <xdr:twoCellAnchor>
    <xdr:from>
      <xdr:col>1</xdr:col>
      <xdr:colOff>47625</xdr:colOff>
      <xdr:row>12</xdr:row>
      <xdr:rowOff>76200</xdr:rowOff>
    </xdr:from>
    <xdr:to>
      <xdr:col>2</xdr:col>
      <xdr:colOff>762000</xdr:colOff>
      <xdr:row>13</xdr:row>
      <xdr:rowOff>123825</xdr:rowOff>
    </xdr:to>
    <xdr:sp macro="" textlink="">
      <xdr:nvSpPr>
        <xdr:cNvPr id="10" name="TextBox 9">
          <a:hlinkClick xmlns:r="http://schemas.openxmlformats.org/officeDocument/2006/relationships" r:id="rId2"/>
          <a:extLst>
            <a:ext uri="{FF2B5EF4-FFF2-40B4-BE49-F238E27FC236}">
              <a16:creationId xmlns:a16="http://schemas.microsoft.com/office/drawing/2014/main" id="{00000000-0008-0000-0200-00000A000000}"/>
            </a:ext>
          </a:extLst>
        </xdr:cNvPr>
        <xdr:cNvSpPr txBox="1"/>
      </xdr:nvSpPr>
      <xdr:spPr>
        <a:xfrm>
          <a:off x="276225" y="2362200"/>
          <a:ext cx="3248025" cy="2381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0070C0"/>
              </a:solidFill>
            </a:rPr>
            <a:t>FI0215 – Sponsored Projects – Effort Certification</a:t>
          </a:r>
        </a:p>
      </xdr:txBody>
    </xdr:sp>
    <xdr:clientData/>
  </xdr:twoCellAnchor>
  <xdr:oneCellAnchor>
    <xdr:from>
      <xdr:col>3</xdr:col>
      <xdr:colOff>952500</xdr:colOff>
      <xdr:row>10</xdr:row>
      <xdr:rowOff>361950</xdr:rowOff>
    </xdr:from>
    <xdr:ext cx="3654425" cy="436786"/>
    <xdr:sp macro="" textlink="">
      <xdr:nvSpPr>
        <xdr:cNvPr id="5" name="TextBox 4">
          <a:hlinkClick xmlns:r="http://schemas.openxmlformats.org/officeDocument/2006/relationships" r:id="rId3"/>
          <a:extLst>
            <a:ext uri="{FF2B5EF4-FFF2-40B4-BE49-F238E27FC236}">
              <a16:creationId xmlns:a16="http://schemas.microsoft.com/office/drawing/2014/main" id="{191A4E5B-6468-40DB-949A-BD185F0750A4}"/>
            </a:ext>
          </a:extLst>
        </xdr:cNvPr>
        <xdr:cNvSpPr txBox="1"/>
      </xdr:nvSpPr>
      <xdr:spPr>
        <a:xfrm>
          <a:off x="4762500" y="2076450"/>
          <a:ext cx="36544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u="sng">
              <a:solidFill>
                <a:srgbClr val="0070C0"/>
              </a:solidFill>
            </a:rPr>
            <a:t>Guidance on Salary Limitation for Grants and Cooperative Agreements FY 2021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policy.tennessee.edu/fiscal_policy/fi0208/"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policy.tennessee.edu/fiscal_policy/fi02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zoomScaleNormal="100" workbookViewId="0">
      <pane ySplit="14" topLeftCell="A15" activePane="bottomLeft" state="frozen"/>
      <selection pane="bottomLeft" activeCell="J67" sqref="J67"/>
    </sheetView>
  </sheetViews>
  <sheetFormatPr defaultColWidth="9.1796875" defaultRowHeight="14.5" x14ac:dyDescent="0.35"/>
  <cols>
    <col min="1" max="1" width="3.453125" style="41" customWidth="1"/>
    <col min="2" max="2" width="38" style="41" customWidth="1"/>
    <col min="3" max="4" width="15.7265625" style="41" customWidth="1"/>
    <col min="5" max="8" width="12.81640625" style="41" customWidth="1"/>
    <col min="9" max="9" width="6.26953125" style="41" customWidth="1"/>
    <col min="10" max="16384" width="9.1796875" style="41"/>
  </cols>
  <sheetData>
    <row r="1" spans="2:9" ht="7.5" customHeight="1" x14ac:dyDescent="0.35"/>
    <row r="2" spans="2:9" x14ac:dyDescent="0.35">
      <c r="B2" s="114" t="s">
        <v>40</v>
      </c>
      <c r="C2" s="115"/>
      <c r="D2" s="115"/>
      <c r="E2" s="115"/>
      <c r="F2" s="115"/>
      <c r="G2" s="115"/>
      <c r="H2" s="116"/>
    </row>
    <row r="3" spans="2:9" x14ac:dyDescent="0.35">
      <c r="B3" s="117" t="s">
        <v>0</v>
      </c>
      <c r="C3" s="118"/>
      <c r="D3" s="118"/>
      <c r="E3" s="118"/>
      <c r="F3" s="118"/>
      <c r="G3" s="118"/>
      <c r="H3" s="119"/>
    </row>
    <row r="4" spans="2:9" ht="7.5" customHeight="1" x14ac:dyDescent="0.35">
      <c r="B4" s="23"/>
      <c r="C4" s="23"/>
      <c r="D4" s="23"/>
      <c r="E4" s="23"/>
      <c r="F4" s="23"/>
      <c r="G4" s="23"/>
      <c r="H4" s="23"/>
    </row>
    <row r="5" spans="2:9" ht="15" customHeight="1" x14ac:dyDescent="0.35">
      <c r="B5" s="120" t="s">
        <v>41</v>
      </c>
      <c r="C5" s="121"/>
      <c r="D5" s="121"/>
      <c r="E5" s="121"/>
      <c r="F5" s="121"/>
      <c r="G5" s="121"/>
      <c r="H5" s="122"/>
    </row>
    <row r="6" spans="2:9" x14ac:dyDescent="0.35">
      <c r="B6" s="123"/>
      <c r="C6" s="124"/>
      <c r="D6" s="124"/>
      <c r="E6" s="124"/>
      <c r="F6" s="124"/>
      <c r="G6" s="124"/>
      <c r="H6" s="125"/>
    </row>
    <row r="7" spans="2:9" x14ac:dyDescent="0.35">
      <c r="B7" s="123"/>
      <c r="C7" s="124"/>
      <c r="D7" s="124"/>
      <c r="E7" s="124"/>
      <c r="F7" s="124"/>
      <c r="G7" s="124"/>
      <c r="H7" s="125"/>
    </row>
    <row r="8" spans="2:9" x14ac:dyDescent="0.35">
      <c r="B8" s="123"/>
      <c r="C8" s="124"/>
      <c r="D8" s="124"/>
      <c r="E8" s="124"/>
      <c r="F8" s="124"/>
      <c r="G8" s="124"/>
      <c r="H8" s="125"/>
    </row>
    <row r="9" spans="2:9" x14ac:dyDescent="0.35">
      <c r="B9" s="123"/>
      <c r="C9" s="124"/>
      <c r="D9" s="124"/>
      <c r="E9" s="124"/>
      <c r="F9" s="124"/>
      <c r="G9" s="124"/>
      <c r="H9" s="125"/>
    </row>
    <row r="10" spans="2:9" ht="14.25" customHeight="1" x14ac:dyDescent="0.35">
      <c r="B10" s="123"/>
      <c r="C10" s="124"/>
      <c r="D10" s="124"/>
      <c r="E10" s="124"/>
      <c r="F10" s="124"/>
      <c r="G10" s="124"/>
      <c r="H10" s="125"/>
    </row>
    <row r="11" spans="2:9" ht="30.75" customHeight="1" x14ac:dyDescent="0.35">
      <c r="B11" s="123"/>
      <c r="C11" s="124"/>
      <c r="D11" s="124"/>
      <c r="E11" s="124"/>
      <c r="F11" s="124"/>
      <c r="G11" s="124"/>
      <c r="H11" s="125"/>
    </row>
    <row r="12" spans="2:9" x14ac:dyDescent="0.35">
      <c r="B12" s="126"/>
      <c r="C12" s="127"/>
      <c r="D12" s="127"/>
      <c r="E12" s="127"/>
      <c r="F12" s="127"/>
      <c r="G12" s="127"/>
      <c r="H12" s="128"/>
    </row>
    <row r="13" spans="2:9" x14ac:dyDescent="0.35">
      <c r="B13" s="38"/>
      <c r="C13" s="39"/>
      <c r="D13" s="39"/>
      <c r="E13" s="39"/>
      <c r="F13" s="39"/>
      <c r="G13" s="39"/>
      <c r="H13" s="40"/>
    </row>
    <row r="14" spans="2:9" x14ac:dyDescent="0.35">
      <c r="B14" s="29"/>
      <c r="C14" s="30"/>
      <c r="D14" s="30"/>
      <c r="E14" s="30"/>
      <c r="F14" s="30"/>
      <c r="G14" s="30"/>
      <c r="H14" s="31"/>
    </row>
    <row r="15" spans="2:9" ht="7.5" customHeight="1" x14ac:dyDescent="0.35">
      <c r="B15" s="12"/>
      <c r="C15" s="12"/>
      <c r="D15" s="12"/>
      <c r="E15" s="12"/>
      <c r="F15" s="12"/>
      <c r="G15" s="12"/>
      <c r="H15" s="12"/>
    </row>
    <row r="16" spans="2:9" ht="15" customHeight="1" x14ac:dyDescent="0.35">
      <c r="B16" s="13" t="s">
        <v>8</v>
      </c>
      <c r="C16" s="109"/>
      <c r="D16" s="110"/>
      <c r="E16" s="111" t="s">
        <v>31</v>
      </c>
      <c r="F16" s="112"/>
      <c r="G16" s="113"/>
      <c r="H16" s="32">
        <v>199300</v>
      </c>
      <c r="I16" s="42"/>
    </row>
    <row r="17" spans="2:9" ht="15" customHeight="1" x14ac:dyDescent="0.35">
      <c r="B17" s="13" t="s">
        <v>1</v>
      </c>
      <c r="C17" s="129" t="s">
        <v>35</v>
      </c>
      <c r="D17" s="129"/>
      <c r="E17" s="111" t="s">
        <v>32</v>
      </c>
      <c r="F17" s="112"/>
      <c r="G17" s="113"/>
      <c r="H17" s="9">
        <f>SUM(H16/12*9)</f>
        <v>149475</v>
      </c>
      <c r="I17" s="42"/>
    </row>
    <row r="18" spans="2:9" x14ac:dyDescent="0.35">
      <c r="B18" s="13" t="s">
        <v>9</v>
      </c>
      <c r="C18" s="108"/>
      <c r="D18" s="108"/>
      <c r="E18" s="103" t="s">
        <v>34</v>
      </c>
      <c r="F18" s="104"/>
      <c r="G18" s="105"/>
      <c r="H18" s="93"/>
      <c r="I18" s="42"/>
    </row>
    <row r="19" spans="2:9" x14ac:dyDescent="0.35">
      <c r="B19" s="13" t="s">
        <v>13</v>
      </c>
      <c r="C19" s="108"/>
      <c r="D19" s="108"/>
      <c r="E19" s="103" t="s">
        <v>10</v>
      </c>
      <c r="F19" s="104"/>
      <c r="G19" s="105"/>
      <c r="H19" s="92"/>
      <c r="I19" s="42"/>
    </row>
    <row r="20" spans="2:9" x14ac:dyDescent="0.35">
      <c r="B20" s="13" t="s">
        <v>12</v>
      </c>
      <c r="C20" s="106"/>
      <c r="D20" s="107"/>
      <c r="E20" s="103" t="s">
        <v>11</v>
      </c>
      <c r="F20" s="104"/>
      <c r="G20" s="105"/>
      <c r="H20" s="92"/>
      <c r="I20" s="42"/>
    </row>
    <row r="21" spans="2:9" x14ac:dyDescent="0.35">
      <c r="B21" s="12"/>
      <c r="C21" s="12"/>
      <c r="D21" s="12"/>
      <c r="E21" s="12"/>
      <c r="F21" s="12"/>
      <c r="G21" s="12"/>
      <c r="H21" s="12"/>
    </row>
    <row r="22" spans="2:9" x14ac:dyDescent="0.35">
      <c r="B22" s="14" t="s">
        <v>14</v>
      </c>
      <c r="C22" s="15" t="s">
        <v>2</v>
      </c>
      <c r="D22" s="15" t="s">
        <v>3</v>
      </c>
      <c r="E22" s="15" t="s">
        <v>4</v>
      </c>
      <c r="F22" s="15" t="s">
        <v>5</v>
      </c>
      <c r="G22" s="15" t="s">
        <v>6</v>
      </c>
      <c r="H22" s="15" t="s">
        <v>16</v>
      </c>
    </row>
    <row r="23" spans="2:9" x14ac:dyDescent="0.35">
      <c r="B23" s="16" t="s">
        <v>7</v>
      </c>
      <c r="C23" s="36">
        <f>ROUND((SUM(H18*(1+$H$19))),0)</f>
        <v>0</v>
      </c>
      <c r="D23" s="36">
        <f>ROUND((SUM(C23*(1+$H$19))),0)</f>
        <v>0</v>
      </c>
      <c r="E23" s="36">
        <f>ROUND((SUM(D23*(1+$H$19))),0)</f>
        <v>0</v>
      </c>
      <c r="F23" s="36">
        <f>ROUND((SUM(E23*(1+$H$19))),0)</f>
        <v>0</v>
      </c>
      <c r="G23" s="36">
        <f>ROUND((SUM(F23*(1+$H$19))),0)</f>
        <v>0</v>
      </c>
      <c r="H23" s="36"/>
    </row>
    <row r="24" spans="2:9" x14ac:dyDescent="0.35">
      <c r="B24" s="16" t="s">
        <v>28</v>
      </c>
      <c r="C24" s="91">
        <v>1</v>
      </c>
      <c r="D24" s="91">
        <v>1</v>
      </c>
      <c r="E24" s="91">
        <v>1</v>
      </c>
      <c r="F24" s="91">
        <v>1</v>
      </c>
      <c r="G24" s="91">
        <v>1</v>
      </c>
      <c r="H24" s="37">
        <f>SUM(C24:G24)</f>
        <v>5</v>
      </c>
    </row>
    <row r="25" spans="2:9" x14ac:dyDescent="0.35">
      <c r="B25" s="16" t="s">
        <v>29</v>
      </c>
      <c r="C25" s="36">
        <f>ROUND((IF(C24="",0,C23/(VLOOKUP(C17,B57:C58,2,FALSE)))*C24),0)</f>
        <v>0</v>
      </c>
      <c r="D25" s="36">
        <f>ROUND((IF(D24="",0,D23/(VLOOKUP(C17,B57:C58,2,FALSE)))*D24),0)</f>
        <v>0</v>
      </c>
      <c r="E25" s="36">
        <f>ROUND((IF(E24="",0,E23/(VLOOKUP(C17,B57:C58,2,FALSE)))*E24),0)</f>
        <v>0</v>
      </c>
      <c r="F25" s="36">
        <f>ROUND((IF(F24="",0,F23/(VLOOKUP(C17,B57:C58,2,FALSE)))*F24),0)</f>
        <v>0</v>
      </c>
      <c r="G25" s="36">
        <f>ROUND((IF(G24="",0,G23/(VLOOKUP(C17,B57:C58,2,FALSE)))*G24),0)</f>
        <v>0</v>
      </c>
      <c r="H25" s="36">
        <f>SUM(C25:G25)</f>
        <v>0</v>
      </c>
    </row>
    <row r="26" spans="2:9" x14ac:dyDescent="0.35">
      <c r="B26" s="16" t="s">
        <v>30</v>
      </c>
      <c r="C26" s="36">
        <f>ROUND((SUM(C25*$H$20)),0)</f>
        <v>0</v>
      </c>
      <c r="D26" s="36">
        <f>ROUND((SUM(D25*$H$20)),0)</f>
        <v>0</v>
      </c>
      <c r="E26" s="36">
        <f>ROUND((SUM(E25*$H$20)),0)</f>
        <v>0</v>
      </c>
      <c r="F26" s="36">
        <f>ROUND((SUM(F25*$H$20)),0)</f>
        <v>0</v>
      </c>
      <c r="G26" s="36">
        <f>ROUND((SUM(G25*$H$20)),0)</f>
        <v>0</v>
      </c>
      <c r="H26" s="36">
        <f>SUM(C26:G26)</f>
        <v>0</v>
      </c>
    </row>
    <row r="27" spans="2:9" x14ac:dyDescent="0.35">
      <c r="B27" s="17"/>
      <c r="C27" s="18"/>
      <c r="D27" s="18"/>
      <c r="E27" s="18"/>
      <c r="F27" s="18"/>
      <c r="G27" s="18"/>
      <c r="H27" s="18"/>
    </row>
    <row r="28" spans="2:9" x14ac:dyDescent="0.35">
      <c r="B28" s="14" t="s">
        <v>15</v>
      </c>
      <c r="C28" s="15" t="s">
        <v>2</v>
      </c>
      <c r="D28" s="15" t="s">
        <v>3</v>
      </c>
      <c r="E28" s="15" t="s">
        <v>4</v>
      </c>
      <c r="F28" s="15" t="s">
        <v>5</v>
      </c>
      <c r="G28" s="15" t="s">
        <v>6</v>
      </c>
      <c r="H28" s="24" t="s">
        <v>16</v>
      </c>
      <c r="I28" s="43"/>
    </row>
    <row r="29" spans="2:9" x14ac:dyDescent="0.35">
      <c r="B29" s="16" t="s">
        <v>20</v>
      </c>
      <c r="C29" s="19">
        <f>ROUND((IF(C25&lt;(($H$16/12)*C24),C25,IF((VLOOKUP(C17,B57:C58,2,FALSE))=9,$H$17/9*C24,IF((VLOOKUP(C17,B57:C58,2,FALSE))=12,$H$16/12*C24)))),0)</f>
        <v>0</v>
      </c>
      <c r="D29" s="36">
        <f>ROUND((IF(D25&lt;(($H$16/12)*D24),D25,IF((VLOOKUP(C17,B57:C58,2,FALSE))=9,$H$17/9*D24,IF((VLOOKUP(C17,B57:C58,2,FALSE))=12,$H$16/12*D24)))),0)</f>
        <v>0</v>
      </c>
      <c r="E29" s="36">
        <f>ROUND((IF(E25&lt;(($H$16/12)*E24),E25,IF((VLOOKUP(C17,B57:C58,2,FALSE))=9,$H$17/9*E24,IF((VLOOKUP(C17,B57:C58,2,FALSE))=12,$H$16/12*E24)))),0)</f>
        <v>0</v>
      </c>
      <c r="F29" s="36">
        <f>ROUND((IF(F25&lt;(($H$16/12)*F24),F25,IF((VLOOKUP(C17,B57:C58,2,FALSE))=9,$H$17/9*F24,IF((VLOOKUP(C17,B57:C58,2,FALSE))=12,$H$16/12*F24)))),0)</f>
        <v>0</v>
      </c>
      <c r="G29" s="28">
        <f>ROUND((IF(G25&lt;(($H$16/12)*G24),G25,IF((VLOOKUP(C17,B57:C58,2,FALSE))=9,$H$17/9*G24,IF((VLOOKUP(C17,B57:C58,2,FALSE))=12,$H$16/12*G24)))),0)</f>
        <v>0</v>
      </c>
      <c r="H29" s="36">
        <f>SUM(C29:G29)</f>
        <v>0</v>
      </c>
      <c r="I29" s="43"/>
    </row>
    <row r="30" spans="2:9" x14ac:dyDescent="0.35">
      <c r="B30" s="16" t="s">
        <v>21</v>
      </c>
      <c r="C30" s="36">
        <f>ROUND((SUM(C29*$H$20)),0)</f>
        <v>0</v>
      </c>
      <c r="D30" s="36">
        <f>ROUND((SUM(D29*$H$20)),0)</f>
        <v>0</v>
      </c>
      <c r="E30" s="36">
        <f>ROUND((SUM(E29*$H$20)),0)</f>
        <v>0</v>
      </c>
      <c r="F30" s="36">
        <f>ROUND((SUM(F29*$H$20)),0)</f>
        <v>0</v>
      </c>
      <c r="G30" s="36">
        <f>ROUND((SUM(G29*$H$20)),0)</f>
        <v>0</v>
      </c>
      <c r="H30" s="36">
        <f>SUM(C30:G30)</f>
        <v>0</v>
      </c>
      <c r="I30" s="43"/>
    </row>
    <row r="31" spans="2:9" x14ac:dyDescent="0.35">
      <c r="B31" s="17"/>
      <c r="C31" s="12"/>
      <c r="D31" s="12"/>
      <c r="E31" s="12"/>
      <c r="F31" s="12"/>
      <c r="G31" s="12"/>
      <c r="H31" s="12"/>
      <c r="I31" s="43"/>
    </row>
    <row r="32" spans="2:9" x14ac:dyDescent="0.35">
      <c r="B32" s="20" t="s">
        <v>42</v>
      </c>
      <c r="C32" s="21" t="s">
        <v>2</v>
      </c>
      <c r="D32" s="21" t="s">
        <v>3</v>
      </c>
      <c r="E32" s="21" t="s">
        <v>4</v>
      </c>
      <c r="F32" s="21" t="s">
        <v>5</v>
      </c>
      <c r="G32" s="21" t="s">
        <v>6</v>
      </c>
      <c r="H32" s="25" t="s">
        <v>16</v>
      </c>
      <c r="I32" s="43"/>
    </row>
    <row r="33" spans="1:9" ht="15" customHeight="1" x14ac:dyDescent="0.35">
      <c r="B33" s="10" t="s">
        <v>43</v>
      </c>
      <c r="C33" s="22">
        <f t="shared" ref="C33:G34" si="0">IF((C25-C29)&gt;=0,(C25-C29),"$0")</f>
        <v>0</v>
      </c>
      <c r="D33" s="22">
        <f t="shared" si="0"/>
        <v>0</v>
      </c>
      <c r="E33" s="22">
        <f t="shared" si="0"/>
        <v>0</v>
      </c>
      <c r="F33" s="22">
        <f t="shared" si="0"/>
        <v>0</v>
      </c>
      <c r="G33" s="22">
        <f t="shared" si="0"/>
        <v>0</v>
      </c>
      <c r="H33" s="22">
        <f>SUM(C33:G33)</f>
        <v>0</v>
      </c>
      <c r="I33" s="44"/>
    </row>
    <row r="34" spans="1:9" ht="15" customHeight="1" x14ac:dyDescent="0.35">
      <c r="B34" s="10" t="s">
        <v>44</v>
      </c>
      <c r="C34" s="22">
        <f t="shared" si="0"/>
        <v>0</v>
      </c>
      <c r="D34" s="22">
        <f t="shared" si="0"/>
        <v>0</v>
      </c>
      <c r="E34" s="22">
        <f t="shared" si="0"/>
        <v>0</v>
      </c>
      <c r="F34" s="22">
        <f t="shared" si="0"/>
        <v>0</v>
      </c>
      <c r="G34" s="22">
        <f t="shared" si="0"/>
        <v>0</v>
      </c>
      <c r="H34" s="22">
        <f>SUM(C34:G34)</f>
        <v>0</v>
      </c>
      <c r="I34" s="44"/>
    </row>
    <row r="35" spans="1:9" ht="15" customHeight="1" x14ac:dyDescent="0.35">
      <c r="B35" s="10" t="s">
        <v>45</v>
      </c>
      <c r="C35" s="22">
        <f t="shared" ref="C35:G35" si="1">SUM(C33:C34)</f>
        <v>0</v>
      </c>
      <c r="D35" s="22">
        <f t="shared" si="1"/>
        <v>0</v>
      </c>
      <c r="E35" s="22">
        <f t="shared" si="1"/>
        <v>0</v>
      </c>
      <c r="F35" s="22">
        <f t="shared" si="1"/>
        <v>0</v>
      </c>
      <c r="G35" s="22">
        <f t="shared" si="1"/>
        <v>0</v>
      </c>
      <c r="H35" s="22">
        <f>SUM(H33:H34)</f>
        <v>0</v>
      </c>
      <c r="I35" s="44"/>
    </row>
    <row r="36" spans="1:9" ht="15" customHeight="1" x14ac:dyDescent="0.35">
      <c r="B36" s="11" t="s">
        <v>59</v>
      </c>
      <c r="C36" s="81" t="e">
        <f>VLOOKUP($C$20,$B$61:$H$66,3,FALSE)</f>
        <v>#N/A</v>
      </c>
      <c r="D36" s="81" t="e">
        <f>VLOOKUP($C$20,$B$61:$H$66,4,FALSE)</f>
        <v>#N/A</v>
      </c>
      <c r="E36" s="81" t="e">
        <f>VLOOKUP($C$20,$B$61:$H$66,5,FALSE)</f>
        <v>#N/A</v>
      </c>
      <c r="F36" s="81" t="e">
        <f>VLOOKUP($C$20,$B$61:$H$66,6,FALSE)</f>
        <v>#N/A</v>
      </c>
      <c r="G36" s="81" t="e">
        <f>VLOOKUP($C$20,$B$61:$H$66,7,FALSE)</f>
        <v>#N/A</v>
      </c>
      <c r="H36" s="26"/>
      <c r="I36" s="44"/>
    </row>
    <row r="37" spans="1:9" ht="15" customHeight="1" thickBot="1" x14ac:dyDescent="0.4">
      <c r="B37" s="11" t="s">
        <v>46</v>
      </c>
      <c r="C37" s="26" t="str">
        <f>IF(OR($C$18=0, $C$20=0), "Select Project", ROUND(C36*C35,0))</f>
        <v>Select Project</v>
      </c>
      <c r="D37" s="26" t="str">
        <f>IF(OR($C$18=0, $C$20=0), "Dates and Rate", ROUND(D36*D35,0))</f>
        <v>Dates and Rate</v>
      </c>
      <c r="E37" s="26" t="str">
        <f>IF(OR($C$18=0, $C$20=0), "Type           !!!", ROUND(E36*E35,0))</f>
        <v>Type           !!!</v>
      </c>
      <c r="F37" s="26" t="str">
        <f>IF(OR($C$18=0, $C$20=0), "!!!", ROUND(F36*F35,0))</f>
        <v>!!!</v>
      </c>
      <c r="G37" s="26" t="str">
        <f>IF(OR($C$18=0, $C$20=0), "!!!!!", ROUND(G36*G35,0))</f>
        <v>!!!!!</v>
      </c>
      <c r="H37" s="26">
        <f>SUM(C37:G37)</f>
        <v>0</v>
      </c>
      <c r="I37" s="44"/>
    </row>
    <row r="38" spans="1:9" ht="15" customHeight="1" x14ac:dyDescent="0.35">
      <c r="B38" s="1" t="s">
        <v>47</v>
      </c>
      <c r="C38" s="27">
        <f>IFERROR(C35+C37, 0)</f>
        <v>0</v>
      </c>
      <c r="D38" s="27">
        <f t="shared" ref="D38:G38" si="2">IFERROR(D35+D37, 0)</f>
        <v>0</v>
      </c>
      <c r="E38" s="27">
        <f t="shared" si="2"/>
        <v>0</v>
      </c>
      <c r="F38" s="27">
        <f t="shared" si="2"/>
        <v>0</v>
      </c>
      <c r="G38" s="27">
        <f t="shared" si="2"/>
        <v>0</v>
      </c>
      <c r="H38" s="27">
        <f>SUM(H35:H37)</f>
        <v>0</v>
      </c>
      <c r="I38" s="44"/>
    </row>
    <row r="39" spans="1:9" s="45" customFormat="1" ht="6" customHeight="1" x14ac:dyDescent="0.35">
      <c r="B39" s="2"/>
      <c r="C39" s="3"/>
      <c r="D39" s="3"/>
      <c r="E39" s="3"/>
      <c r="F39" s="3"/>
      <c r="G39" s="3"/>
      <c r="H39" s="3"/>
      <c r="I39" s="46"/>
    </row>
    <row r="40" spans="1:9" s="45" customFormat="1" ht="15" customHeight="1" x14ac:dyDescent="0.35">
      <c r="A40" s="41"/>
      <c r="B40" s="7" t="s">
        <v>48</v>
      </c>
      <c r="C40" s="8">
        <f>H38</f>
        <v>0</v>
      </c>
      <c r="D40" s="6"/>
      <c r="E40" s="6"/>
      <c r="F40" s="6"/>
      <c r="G40" s="6"/>
      <c r="H40" s="6"/>
      <c r="I40" s="46"/>
    </row>
    <row r="41" spans="1:9" s="45" customFormat="1" ht="6" customHeight="1" x14ac:dyDescent="0.35">
      <c r="B41" s="4"/>
      <c r="C41" s="5"/>
      <c r="D41" s="5"/>
      <c r="E41" s="5"/>
      <c r="F41" s="5"/>
      <c r="G41" s="5"/>
      <c r="H41" s="5"/>
      <c r="I41" s="46"/>
    </row>
    <row r="42" spans="1:9" ht="12" customHeight="1" x14ac:dyDescent="0.35">
      <c r="B42" s="94" t="s">
        <v>72</v>
      </c>
      <c r="C42" s="95"/>
      <c r="D42" s="95"/>
      <c r="E42" s="95"/>
      <c r="F42" s="95"/>
      <c r="G42" s="95"/>
      <c r="H42" s="96"/>
    </row>
    <row r="43" spans="1:9" x14ac:dyDescent="0.35">
      <c r="B43" s="97"/>
      <c r="C43" s="98"/>
      <c r="D43" s="98"/>
      <c r="E43" s="98"/>
      <c r="F43" s="98"/>
      <c r="G43" s="98"/>
      <c r="H43" s="99"/>
    </row>
    <row r="44" spans="1:9" x14ac:dyDescent="0.35">
      <c r="B44" s="100" t="s">
        <v>33</v>
      </c>
      <c r="C44" s="101"/>
      <c r="D44" s="101"/>
      <c r="E44" s="101"/>
      <c r="F44" s="101"/>
      <c r="G44" s="101"/>
      <c r="H44" s="102"/>
      <c r="I44" s="44"/>
    </row>
    <row r="46" spans="1:9" x14ac:dyDescent="0.35">
      <c r="B46" s="47"/>
      <c r="C46" s="47"/>
      <c r="D46" s="47"/>
      <c r="E46" s="47"/>
      <c r="F46" s="47"/>
      <c r="G46" s="47"/>
      <c r="H46" s="47"/>
    </row>
    <row r="47" spans="1:9" hidden="1" x14ac:dyDescent="0.35">
      <c r="B47" s="72" t="s">
        <v>50</v>
      </c>
      <c r="C47" s="72" t="s">
        <v>51</v>
      </c>
      <c r="D47" s="72" t="s">
        <v>51</v>
      </c>
      <c r="E47" s="72" t="s">
        <v>51</v>
      </c>
      <c r="F47" s="47"/>
      <c r="G47" s="47"/>
      <c r="H47" s="47"/>
    </row>
    <row r="48" spans="1:9" hidden="1" x14ac:dyDescent="0.35">
      <c r="B48" s="73" t="s">
        <v>52</v>
      </c>
      <c r="C48" s="74">
        <v>41933</v>
      </c>
      <c r="D48" s="75">
        <v>44013</v>
      </c>
      <c r="E48" s="76">
        <v>44378</v>
      </c>
    </row>
    <row r="49" spans="2:9" hidden="1" x14ac:dyDescent="0.35">
      <c r="B49" s="77" t="s">
        <v>53</v>
      </c>
      <c r="C49" s="78">
        <v>0.51</v>
      </c>
      <c r="D49" s="79">
        <v>0.52</v>
      </c>
      <c r="E49" s="80">
        <v>0.53</v>
      </c>
    </row>
    <row r="50" spans="2:9" hidden="1" x14ac:dyDescent="0.35">
      <c r="B50" s="77" t="s">
        <v>54</v>
      </c>
      <c r="C50" s="78">
        <v>0.26</v>
      </c>
      <c r="D50" s="79">
        <v>0.26</v>
      </c>
      <c r="E50" s="80">
        <v>0.26</v>
      </c>
    </row>
    <row r="51" spans="2:9" hidden="1" x14ac:dyDescent="0.35">
      <c r="B51" s="77" t="s">
        <v>55</v>
      </c>
      <c r="C51" s="78">
        <v>0.53</v>
      </c>
      <c r="D51" s="79">
        <v>0.54</v>
      </c>
      <c r="E51" s="80">
        <v>0.54</v>
      </c>
    </row>
    <row r="52" spans="2:9" hidden="1" x14ac:dyDescent="0.35">
      <c r="B52" s="77" t="s">
        <v>56</v>
      </c>
      <c r="C52" s="78">
        <v>0.26</v>
      </c>
      <c r="D52" s="79">
        <v>0.26</v>
      </c>
      <c r="E52" s="80">
        <v>0.26</v>
      </c>
    </row>
    <row r="53" spans="2:9" hidden="1" x14ac:dyDescent="0.35">
      <c r="B53" s="77" t="s">
        <v>57</v>
      </c>
      <c r="C53" s="78">
        <v>0.38</v>
      </c>
      <c r="D53" s="79">
        <v>0.36</v>
      </c>
      <c r="E53" s="80">
        <v>0.36</v>
      </c>
    </row>
    <row r="54" spans="2:9" hidden="1" x14ac:dyDescent="0.35">
      <c r="B54" s="77" t="s">
        <v>58</v>
      </c>
      <c r="C54" s="78">
        <v>0.26</v>
      </c>
      <c r="D54" s="79">
        <v>0.26</v>
      </c>
      <c r="E54" s="80">
        <v>0.26</v>
      </c>
    </row>
    <row r="55" spans="2:9" hidden="1" x14ac:dyDescent="0.35">
      <c r="B55" s="66"/>
      <c r="C55" s="66"/>
    </row>
    <row r="56" spans="2:9" hidden="1" x14ac:dyDescent="0.35">
      <c r="B56" s="67" t="s">
        <v>19</v>
      </c>
      <c r="C56" s="66"/>
    </row>
    <row r="57" spans="2:9" hidden="1" x14ac:dyDescent="0.35">
      <c r="B57" s="68" t="s">
        <v>35</v>
      </c>
      <c r="C57" s="69">
        <v>9</v>
      </c>
    </row>
    <row r="58" spans="2:9" hidden="1" x14ac:dyDescent="0.35">
      <c r="B58" s="70" t="s">
        <v>36</v>
      </c>
      <c r="C58" s="71">
        <v>12</v>
      </c>
    </row>
    <row r="59" spans="2:9" hidden="1" x14ac:dyDescent="0.35">
      <c r="B59" s="54"/>
      <c r="C59" s="43"/>
    </row>
    <row r="60" spans="2:9" hidden="1" x14ac:dyDescent="0.35">
      <c r="B60" s="82"/>
      <c r="C60" s="82"/>
      <c r="D60" s="82" t="s">
        <v>60</v>
      </c>
      <c r="E60" s="82" t="s">
        <v>61</v>
      </c>
      <c r="F60" s="82" t="s">
        <v>62</v>
      </c>
      <c r="G60" s="82" t="s">
        <v>63</v>
      </c>
      <c r="H60" s="82" t="s">
        <v>64</v>
      </c>
      <c r="I60" s="82" t="s">
        <v>65</v>
      </c>
    </row>
    <row r="61" spans="2:9" hidden="1" x14ac:dyDescent="0.35">
      <c r="B61" s="82" t="s">
        <v>66</v>
      </c>
      <c r="C61" s="82"/>
      <c r="D61" s="83" t="str">
        <f>IF($C$18&gt;DATE(2013, 1, 1),IF($C$18&gt;DATE(2020, 6, 30), IF($C$18&gt;DATE(2021, 6, 30), $E49, $D49), $C49),"ENTER START")</f>
        <v>ENTER START</v>
      </c>
      <c r="E61" s="84" t="str">
        <f>IF($C$18=0, "DATE IN CELL", IF(DATE(YEAR($C$18)+1, MONTH($C$18), DAY($C$18))&gt;DATE(2021, 6, 30),$E49, IF(AND(DATE(YEAR($C$18)+1, MONTH($C$18), DAY($C$18))&gt;DATE(2020, 6, 30),(DATE(YEAR($C$18)+1, MONTH($C$18), DAY($C$18))&lt;DATE(2021, 7, 1))), $D49, $C49)))</f>
        <v>DATE IN CELL</v>
      </c>
      <c r="F61" s="84" t="str">
        <f>IF($C$18=0, "C18     !!!", IF(DATE(YEAR($C$18)+2, MONTH($C$18), DAY($C$18))&gt;DATE(2021, 6, 30),$E49, IF(AND(DATE(YEAR($C$18)+2, MONTH($C$18), DAY($C$18))&gt;DATE(2020, 6, 30),(DATE(YEAR($C$18)+2, MONTH($C$18), DAY($C$18))&lt;DATE(2021, 7, 1))), $D49, $C49)))</f>
        <v>C18     !!!</v>
      </c>
      <c r="G61" s="84" t="str">
        <f>IF($C$18=0, "!!!", IF(DATE(YEAR($C$18)+3, MONTH($C$18), DAY($C$18))&gt;DATE(2021, 6, 30),$E49, IF(AND(DATE(YEAR($C$18)+3, MONTH($C$18), DAY($C$18))&gt;DATE(2020, 6, 30),(DATE(YEAR($C$18)+3, MONTH($C$18), DAY($C$18))&lt;DATE(2021, 7, 1))), $D49, $C49)))</f>
        <v>!!!</v>
      </c>
      <c r="H61" s="84" t="str">
        <f>IF($C$18=0, "!!!", IF(DATE(YEAR($C$18)+4, MONTH($C$18), DAY($C$18))&gt;DATE(2021, 6, 30),$E49, IF(AND(DATE(YEAR($C$18)+4, MONTH($C$18), DAY($C$18))&gt;DATE(2020, 6, 30),(DATE(YEAR($C$18)+4, MONTH($C$18), DAY($C$18))&lt;DATE(2021, 7, 1))), $D49, $C49)))</f>
        <v>!!!</v>
      </c>
      <c r="I61" s="82"/>
    </row>
    <row r="62" spans="2:9" hidden="1" x14ac:dyDescent="0.35">
      <c r="B62" s="82" t="s">
        <v>67</v>
      </c>
      <c r="C62" s="82"/>
      <c r="D62" s="83" t="str">
        <f t="shared" ref="D62:D66" si="3">IF($C$18&gt;DATE(2013, 1, 1),IF($C$18&gt;DATE(2020, 6, 30), IF($C$18&gt;DATE(2021, 6, 30), $E50, $D50), $C50),"ENTER START")</f>
        <v>ENTER START</v>
      </c>
      <c r="E62" s="84" t="str">
        <f t="shared" ref="E62:E66" si="4">IF($C$18=0, "DATE IN CELL", IF(DATE(YEAR($C$18)+1, MONTH($C$18), DAY($C$18))&gt;DATE(2021, 6, 30),$E50, IF(AND(DATE(YEAR($C$18)+1, MONTH($C$18), DAY($C$18))&gt;DATE(2020, 6, 30),(DATE(YEAR($C$18)+1, MONTH($C$18), DAY($C$18))&lt;DATE(2021, 7, 1))), $D50, $C50)))</f>
        <v>DATE IN CELL</v>
      </c>
      <c r="F62" s="84" t="str">
        <f t="shared" ref="F62:F66" si="5">IF($C$18=0, "C18     !!!", IF(DATE(YEAR($C$18)+2, MONTH($C$18), DAY($C$18))&gt;DATE(2021, 6, 30),$E50, IF(AND(DATE(YEAR($C$18)+2, MONTH($C$18), DAY($C$18))&gt;DATE(2020, 6, 30),(DATE(YEAR($C$18)+2, MONTH($C$18), DAY($C$18))&lt;DATE(2021, 7, 1))), $D50, $C50)))</f>
        <v>C18     !!!</v>
      </c>
      <c r="G62" s="84" t="str">
        <f t="shared" ref="G62:G66" si="6">IF($C$18=0, "!!!", IF(DATE(YEAR($C$18)+3, MONTH($C$18), DAY($C$18))&gt;DATE(2021, 6, 30),$E50, IF(AND(DATE(YEAR($C$18)+3, MONTH($C$18), DAY($C$18))&gt;DATE(2020, 6, 30),(DATE(YEAR($C$18)+3, MONTH($C$18), DAY($C$18))&lt;DATE(2021, 7, 1))), $D50, $C50)))</f>
        <v>!!!</v>
      </c>
      <c r="H62" s="84" t="str">
        <f t="shared" ref="H62:H66" si="7">IF($C$18=0, "!!!", IF(DATE(YEAR($C$18)+4, MONTH($C$18), DAY($C$18))&gt;DATE(2021, 6, 30),$E50, IF(AND(DATE(YEAR($C$18)+4, MONTH($C$18), DAY($C$18))&gt;DATE(2020, 6, 30),(DATE(YEAR($C$18)+4, MONTH($C$18), DAY($C$18))&lt;DATE(2021, 7, 1))), $D50, $C50)))</f>
        <v>!!!</v>
      </c>
      <c r="I62" s="82"/>
    </row>
    <row r="63" spans="2:9" hidden="1" x14ac:dyDescent="0.35">
      <c r="B63" s="82" t="s">
        <v>68</v>
      </c>
      <c r="C63" s="82"/>
      <c r="D63" s="83" t="str">
        <f t="shared" si="3"/>
        <v>ENTER START</v>
      </c>
      <c r="E63" s="84" t="str">
        <f t="shared" si="4"/>
        <v>DATE IN CELL</v>
      </c>
      <c r="F63" s="84" t="str">
        <f t="shared" si="5"/>
        <v>C18     !!!</v>
      </c>
      <c r="G63" s="84" t="str">
        <f t="shared" si="6"/>
        <v>!!!</v>
      </c>
      <c r="H63" s="84" t="str">
        <f t="shared" si="7"/>
        <v>!!!</v>
      </c>
      <c r="I63" s="82"/>
    </row>
    <row r="64" spans="2:9" hidden="1" x14ac:dyDescent="0.35">
      <c r="B64" s="82" t="s">
        <v>69</v>
      </c>
      <c r="C64" s="82"/>
      <c r="D64" s="83" t="str">
        <f t="shared" si="3"/>
        <v>ENTER START</v>
      </c>
      <c r="E64" s="84" t="str">
        <f t="shared" si="4"/>
        <v>DATE IN CELL</v>
      </c>
      <c r="F64" s="84" t="str">
        <f t="shared" si="5"/>
        <v>C18     !!!</v>
      </c>
      <c r="G64" s="84" t="str">
        <f t="shared" si="6"/>
        <v>!!!</v>
      </c>
      <c r="H64" s="84" t="str">
        <f t="shared" si="7"/>
        <v>!!!</v>
      </c>
      <c r="I64" s="82"/>
    </row>
    <row r="65" spans="2:9" hidden="1" x14ac:dyDescent="0.35">
      <c r="B65" s="82" t="s">
        <v>70</v>
      </c>
      <c r="C65" s="82"/>
      <c r="D65" s="83" t="str">
        <f t="shared" si="3"/>
        <v>ENTER START</v>
      </c>
      <c r="E65" s="84" t="str">
        <f t="shared" si="4"/>
        <v>DATE IN CELL</v>
      </c>
      <c r="F65" s="84" t="str">
        <f t="shared" si="5"/>
        <v>C18     !!!</v>
      </c>
      <c r="G65" s="84" t="str">
        <f t="shared" si="6"/>
        <v>!!!</v>
      </c>
      <c r="H65" s="84" t="str">
        <f t="shared" si="7"/>
        <v>!!!</v>
      </c>
      <c r="I65" s="82"/>
    </row>
    <row r="66" spans="2:9" hidden="1" x14ac:dyDescent="0.35">
      <c r="B66" s="85" t="s">
        <v>71</v>
      </c>
      <c r="C66" s="85"/>
      <c r="D66" s="83" t="str">
        <f t="shared" si="3"/>
        <v>ENTER START</v>
      </c>
      <c r="E66" s="84" t="str">
        <f t="shared" si="4"/>
        <v>DATE IN CELL</v>
      </c>
      <c r="F66" s="84" t="str">
        <f t="shared" si="5"/>
        <v>C18     !!!</v>
      </c>
      <c r="G66" s="84" t="str">
        <f t="shared" si="6"/>
        <v>!!!</v>
      </c>
      <c r="H66" s="84" t="str">
        <f t="shared" si="7"/>
        <v>!!!</v>
      </c>
      <c r="I66" s="82"/>
    </row>
    <row r="67" spans="2:9" x14ac:dyDescent="0.35">
      <c r="B67" s="82"/>
      <c r="C67" s="82"/>
      <c r="D67" s="86"/>
      <c r="E67" s="87"/>
      <c r="F67" s="87"/>
      <c r="G67" s="87"/>
      <c r="H67" s="87"/>
      <c r="I67" s="88"/>
    </row>
    <row r="68" spans="2:9" x14ac:dyDescent="0.35">
      <c r="B68" s="82"/>
      <c r="C68" s="82"/>
      <c r="D68" s="89"/>
      <c r="E68" s="90"/>
      <c r="F68" s="90"/>
      <c r="G68" s="90"/>
      <c r="H68" s="90"/>
      <c r="I68" s="82"/>
    </row>
  </sheetData>
  <sheetProtection algorithmName="SHA-512" hashValue="aog1WbgBer1PckJe+LrZhOYqpb+bfVDNNi/UNgexqV2tmsEbOi2OTBK+LS7TNSHerE2/A5hPX0Xe+xhrGi9UPg==" saltValue="UO9EUPz87Es5rR3foh1jQg==" spinCount="100000" sheet="1" objects="1" scenarios="1" selectLockedCells="1"/>
  <mergeCells count="16">
    <mergeCell ref="C16:D16"/>
    <mergeCell ref="E16:G16"/>
    <mergeCell ref="E17:G17"/>
    <mergeCell ref="B2:H2"/>
    <mergeCell ref="B3:H3"/>
    <mergeCell ref="B5:H11"/>
    <mergeCell ref="B12:H12"/>
    <mergeCell ref="C17:D17"/>
    <mergeCell ref="B42:H43"/>
    <mergeCell ref="B44:H44"/>
    <mergeCell ref="E18:G18"/>
    <mergeCell ref="C20:D20"/>
    <mergeCell ref="E20:G20"/>
    <mergeCell ref="E19:G19"/>
    <mergeCell ref="C18:D18"/>
    <mergeCell ref="C19:D19"/>
  </mergeCells>
  <dataValidations count="2">
    <dataValidation type="list" allowBlank="1" showInputMessage="1" showErrorMessage="1" sqref="C20:D20" xr:uid="{00000000-0002-0000-0000-000000000000}">
      <formula1>$B$61:$B$66</formula1>
    </dataValidation>
    <dataValidation type="list" allowBlank="1" showInputMessage="1" showErrorMessage="1" sqref="C17:D17" xr:uid="{00000000-0002-0000-0000-000001000000}">
      <formula1>AppointmentType</formula1>
    </dataValidation>
  </dataValidations>
  <printOptions horizontalCentered="1" verticalCentered="1"/>
  <pageMargins left="0.5" right="0.5" top="0.75" bottom="0.75" header="0.3" footer="0.3"/>
  <pageSetup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7"/>
  <sheetViews>
    <sheetView workbookViewId="0">
      <pane ySplit="14" topLeftCell="A27" activePane="bottomLeft" state="frozen"/>
      <selection pane="bottomLeft" activeCell="K16" sqref="K16"/>
    </sheetView>
  </sheetViews>
  <sheetFormatPr defaultColWidth="9.1796875" defaultRowHeight="14.5" x14ac:dyDescent="0.35"/>
  <cols>
    <col min="1" max="1" width="3.453125" style="41" customWidth="1"/>
    <col min="2" max="2" width="38" style="41" customWidth="1"/>
    <col min="3" max="4" width="15.7265625" style="41" customWidth="1"/>
    <col min="5" max="8" width="12.81640625" style="41" customWidth="1"/>
    <col min="9" max="9" width="6.26953125" style="41" customWidth="1"/>
    <col min="10" max="16384" width="9.1796875" style="41"/>
  </cols>
  <sheetData>
    <row r="1" spans="2:9" ht="7.5" customHeight="1" x14ac:dyDescent="0.35"/>
    <row r="2" spans="2:9" x14ac:dyDescent="0.35">
      <c r="B2" s="114" t="s">
        <v>40</v>
      </c>
      <c r="C2" s="115"/>
      <c r="D2" s="115"/>
      <c r="E2" s="115"/>
      <c r="F2" s="115"/>
      <c r="G2" s="115"/>
      <c r="H2" s="116"/>
    </row>
    <row r="3" spans="2:9" ht="32.25" customHeight="1" x14ac:dyDescent="0.35">
      <c r="B3" s="132" t="s">
        <v>39</v>
      </c>
      <c r="C3" s="133"/>
      <c r="D3" s="133"/>
      <c r="E3" s="133"/>
      <c r="F3" s="133"/>
      <c r="G3" s="133"/>
      <c r="H3" s="134"/>
    </row>
    <row r="4" spans="2:9" ht="7.5" customHeight="1" x14ac:dyDescent="0.35">
      <c r="B4" s="23"/>
      <c r="C4" s="23"/>
      <c r="D4" s="23"/>
      <c r="E4" s="23"/>
      <c r="F4" s="23"/>
      <c r="G4" s="23"/>
      <c r="H4" s="23"/>
    </row>
    <row r="5" spans="2:9" ht="15" customHeight="1" x14ac:dyDescent="0.35">
      <c r="B5" s="120" t="s">
        <v>41</v>
      </c>
      <c r="C5" s="121"/>
      <c r="D5" s="121"/>
      <c r="E5" s="121"/>
      <c r="F5" s="121"/>
      <c r="G5" s="121"/>
      <c r="H5" s="122"/>
    </row>
    <row r="6" spans="2:9" x14ac:dyDescent="0.35">
      <c r="B6" s="123"/>
      <c r="C6" s="124"/>
      <c r="D6" s="124"/>
      <c r="E6" s="124"/>
      <c r="F6" s="124"/>
      <c r="G6" s="124"/>
      <c r="H6" s="125"/>
    </row>
    <row r="7" spans="2:9" x14ac:dyDescent="0.35">
      <c r="B7" s="123"/>
      <c r="C7" s="124"/>
      <c r="D7" s="124"/>
      <c r="E7" s="124"/>
      <c r="F7" s="124"/>
      <c r="G7" s="124"/>
      <c r="H7" s="125"/>
    </row>
    <row r="8" spans="2:9" x14ac:dyDescent="0.35">
      <c r="B8" s="123"/>
      <c r="C8" s="124"/>
      <c r="D8" s="124"/>
      <c r="E8" s="124"/>
      <c r="F8" s="124"/>
      <c r="G8" s="124"/>
      <c r="H8" s="125"/>
    </row>
    <row r="9" spans="2:9" x14ac:dyDescent="0.35">
      <c r="B9" s="123"/>
      <c r="C9" s="124"/>
      <c r="D9" s="124"/>
      <c r="E9" s="124"/>
      <c r="F9" s="124"/>
      <c r="G9" s="124"/>
      <c r="H9" s="125"/>
    </row>
    <row r="10" spans="2:9" ht="14.25" customHeight="1" x14ac:dyDescent="0.35">
      <c r="B10" s="123"/>
      <c r="C10" s="124"/>
      <c r="D10" s="124"/>
      <c r="E10" s="124"/>
      <c r="F10" s="124"/>
      <c r="G10" s="124"/>
      <c r="H10" s="125"/>
    </row>
    <row r="11" spans="2:9" ht="29.25" customHeight="1" x14ac:dyDescent="0.35">
      <c r="B11" s="123"/>
      <c r="C11" s="124"/>
      <c r="D11" s="124"/>
      <c r="E11" s="124"/>
      <c r="F11" s="124"/>
      <c r="G11" s="124"/>
      <c r="H11" s="125"/>
    </row>
    <row r="12" spans="2:9" x14ac:dyDescent="0.35">
      <c r="B12" s="126"/>
      <c r="C12" s="127"/>
      <c r="D12" s="127"/>
      <c r="E12" s="127"/>
      <c r="F12" s="127"/>
      <c r="G12" s="127"/>
      <c r="H12" s="128"/>
    </row>
    <row r="13" spans="2:9" x14ac:dyDescent="0.35">
      <c r="B13" s="63"/>
      <c r="C13" s="64"/>
      <c r="D13" s="64"/>
      <c r="E13" s="64"/>
      <c r="F13" s="64"/>
      <c r="G13" s="64"/>
      <c r="H13" s="65"/>
    </row>
    <row r="14" spans="2:9" x14ac:dyDescent="0.35">
      <c r="B14" s="29"/>
      <c r="C14" s="30"/>
      <c r="D14" s="30"/>
      <c r="E14" s="30"/>
      <c r="F14" s="30"/>
      <c r="G14" s="30"/>
      <c r="H14" s="31"/>
    </row>
    <row r="15" spans="2:9" ht="7.5" customHeight="1" x14ac:dyDescent="0.35">
      <c r="B15" s="12"/>
      <c r="C15" s="12"/>
      <c r="D15" s="12"/>
      <c r="E15" s="12"/>
      <c r="F15" s="12"/>
      <c r="G15" s="12"/>
      <c r="H15" s="12"/>
    </row>
    <row r="16" spans="2:9" ht="15" customHeight="1" x14ac:dyDescent="0.35">
      <c r="B16" s="13" t="s">
        <v>8</v>
      </c>
      <c r="C16" s="130" t="str">
        <f>IF(ISBLANK('Salary Cap Calculator'!C16:D16)," ", 'Salary Cap Calculator'!C16:D16)</f>
        <v xml:space="preserve"> </v>
      </c>
      <c r="D16" s="131"/>
      <c r="E16" s="111" t="s">
        <v>31</v>
      </c>
      <c r="F16" s="112"/>
      <c r="G16" s="113"/>
      <c r="H16" s="32">
        <f>'Salary Cap Calculator'!H16</f>
        <v>199300</v>
      </c>
      <c r="I16" s="42"/>
    </row>
    <row r="17" spans="2:9" ht="15" customHeight="1" x14ac:dyDescent="0.35">
      <c r="B17" s="13" t="s">
        <v>1</v>
      </c>
      <c r="C17" s="130" t="str">
        <f>IF(ISBLANK('Salary Cap Calculator'!C17:D17)," ", 'Salary Cap Calculator'!C17:D17)</f>
        <v>9-month</v>
      </c>
      <c r="D17" s="131"/>
      <c r="E17" s="111" t="s">
        <v>32</v>
      </c>
      <c r="F17" s="112"/>
      <c r="G17" s="113"/>
      <c r="H17" s="32">
        <f>'Salary Cap Calculator'!H17</f>
        <v>149475</v>
      </c>
      <c r="I17" s="42"/>
    </row>
    <row r="18" spans="2:9" x14ac:dyDescent="0.35">
      <c r="B18" s="13" t="s">
        <v>9</v>
      </c>
      <c r="C18" s="135" t="str">
        <f>IF(ISBLANK('Salary Cap Calculator'!C18:D18)," ", 'Salary Cap Calculator'!C18:D18)</f>
        <v xml:space="preserve"> </v>
      </c>
      <c r="D18" s="136"/>
      <c r="E18" s="103" t="s">
        <v>34</v>
      </c>
      <c r="F18" s="104"/>
      <c r="G18" s="105"/>
      <c r="H18" s="32">
        <f>'Salary Cap Calculator'!H18</f>
        <v>0</v>
      </c>
      <c r="I18" s="42"/>
    </row>
    <row r="19" spans="2:9" x14ac:dyDescent="0.35">
      <c r="B19" s="13" t="s">
        <v>13</v>
      </c>
      <c r="C19" s="135" t="str">
        <f>IF(ISBLANK('Salary Cap Calculator'!C19:D19)," ", 'Salary Cap Calculator'!C19:D19)</f>
        <v xml:space="preserve"> </v>
      </c>
      <c r="D19" s="136"/>
      <c r="E19" s="103" t="s">
        <v>10</v>
      </c>
      <c r="F19" s="104"/>
      <c r="G19" s="105"/>
      <c r="H19" s="32">
        <f>'Salary Cap Calculator'!H19</f>
        <v>0</v>
      </c>
      <c r="I19" s="42"/>
    </row>
    <row r="20" spans="2:9" x14ac:dyDescent="0.35">
      <c r="B20" s="13" t="s">
        <v>12</v>
      </c>
      <c r="C20" s="130" t="str">
        <f>IF(ISBLANK('Salary Cap Calculator'!C20:D20)," ", 'Salary Cap Calculator'!C20:D20)</f>
        <v xml:space="preserve"> </v>
      </c>
      <c r="D20" s="131"/>
      <c r="E20" s="103" t="s">
        <v>11</v>
      </c>
      <c r="F20" s="104"/>
      <c r="G20" s="105"/>
      <c r="H20" s="92"/>
      <c r="I20" s="42"/>
    </row>
    <row r="21" spans="2:9" x14ac:dyDescent="0.35">
      <c r="B21" s="12"/>
      <c r="C21" s="12"/>
      <c r="D21" s="12"/>
      <c r="E21" s="12"/>
      <c r="F21" s="12"/>
      <c r="G21" s="12"/>
      <c r="H21" s="12"/>
    </row>
    <row r="22" spans="2:9" x14ac:dyDescent="0.35">
      <c r="B22" s="14" t="s">
        <v>14</v>
      </c>
      <c r="C22" s="15" t="s">
        <v>2</v>
      </c>
      <c r="D22" s="15" t="s">
        <v>3</v>
      </c>
      <c r="E22" s="15" t="s">
        <v>4</v>
      </c>
      <c r="F22" s="15" t="s">
        <v>5</v>
      </c>
      <c r="G22" s="15" t="s">
        <v>6</v>
      </c>
      <c r="H22" s="15" t="s">
        <v>16</v>
      </c>
    </row>
    <row r="23" spans="2:9" x14ac:dyDescent="0.35">
      <c r="B23" s="16" t="s">
        <v>7</v>
      </c>
      <c r="C23" s="36">
        <f>ROUND((SUM(H18*(1+$H$19))),0)</f>
        <v>0</v>
      </c>
      <c r="D23" s="36">
        <f>ROUND((SUM(C23*(1+$H$19))),0)</f>
        <v>0</v>
      </c>
      <c r="E23" s="36">
        <f>ROUND((SUM(D23*(1+$H$19))),0)</f>
        <v>0</v>
      </c>
      <c r="F23" s="36">
        <f>ROUND((SUM(E23*(1+$H$19))),0)</f>
        <v>0</v>
      </c>
      <c r="G23" s="36">
        <f>ROUND((SUM(F23*(1+$H$19))),0)</f>
        <v>0</v>
      </c>
      <c r="H23" s="36"/>
    </row>
    <row r="24" spans="2:9" x14ac:dyDescent="0.35">
      <c r="B24" s="16" t="s">
        <v>28</v>
      </c>
      <c r="C24" s="91"/>
      <c r="D24" s="91"/>
      <c r="E24" s="91"/>
      <c r="F24" s="91"/>
      <c r="G24" s="91"/>
      <c r="H24" s="37">
        <f>SUM(C24:G24)</f>
        <v>0</v>
      </c>
    </row>
    <row r="25" spans="2:9" x14ac:dyDescent="0.35">
      <c r="B25" s="16" t="s">
        <v>29</v>
      </c>
      <c r="C25" s="36">
        <f>ROUND((IF(C24="",0,C23/(VLOOKUP(C17,B57:C58,2,FALSE)))*C24),0)</f>
        <v>0</v>
      </c>
      <c r="D25" s="36">
        <f>ROUND((IF(D24="",0,D23/(VLOOKUP(C17,B57:C58,2,FALSE)))*D24),0)</f>
        <v>0</v>
      </c>
      <c r="E25" s="36">
        <f>ROUND((IF(E24="",0,E23/(VLOOKUP(C17,B57:C58,2,FALSE)))*E24),0)</f>
        <v>0</v>
      </c>
      <c r="F25" s="36">
        <f>ROUND((IF(F24="",0,F23/(VLOOKUP(C17,B57:C58,2,FALSE)))*F24),0)</f>
        <v>0</v>
      </c>
      <c r="G25" s="36">
        <f>ROUND((IF(G24="",0,G23/(VLOOKUP(C17,B57:C58,2,FALSE)))*G24),0)</f>
        <v>0</v>
      </c>
      <c r="H25" s="36">
        <f>SUM(C25:G25)</f>
        <v>0</v>
      </c>
    </row>
    <row r="26" spans="2:9" ht="15" customHeight="1" x14ac:dyDescent="0.35">
      <c r="B26" s="16" t="s">
        <v>30</v>
      </c>
      <c r="C26" s="36">
        <f>ROUND((SUM(C25*$H$20)),0)</f>
        <v>0</v>
      </c>
      <c r="D26" s="36">
        <f>ROUND((SUM(D25*$H$20)),0)</f>
        <v>0</v>
      </c>
      <c r="E26" s="36">
        <f>ROUND((SUM(E25*$H$20)),0)</f>
        <v>0</v>
      </c>
      <c r="F26" s="36">
        <f>ROUND((SUM(F25*$H$20)),0)</f>
        <v>0</v>
      </c>
      <c r="G26" s="36">
        <f>ROUND((SUM(G25*$H$20)),0)</f>
        <v>0</v>
      </c>
      <c r="H26" s="36">
        <f>SUM(C26:G26)</f>
        <v>0</v>
      </c>
    </row>
    <row r="27" spans="2:9" x14ac:dyDescent="0.35">
      <c r="B27" s="17"/>
      <c r="C27" s="18"/>
      <c r="D27" s="18"/>
      <c r="E27" s="18"/>
      <c r="F27" s="18"/>
      <c r="G27" s="18"/>
      <c r="H27" s="18"/>
    </row>
    <row r="28" spans="2:9" x14ac:dyDescent="0.35">
      <c r="B28" s="14" t="s">
        <v>15</v>
      </c>
      <c r="C28" s="15" t="s">
        <v>2</v>
      </c>
      <c r="D28" s="15" t="s">
        <v>3</v>
      </c>
      <c r="E28" s="15" t="s">
        <v>4</v>
      </c>
      <c r="F28" s="15" t="s">
        <v>5</v>
      </c>
      <c r="G28" s="15" t="s">
        <v>6</v>
      </c>
      <c r="H28" s="24" t="s">
        <v>16</v>
      </c>
      <c r="I28" s="43"/>
    </row>
    <row r="29" spans="2:9" x14ac:dyDescent="0.35">
      <c r="B29" s="16" t="s">
        <v>20</v>
      </c>
      <c r="C29" s="19">
        <f>ROUND((IF(C25&lt;(($H$16/12)*C24),C25,IF((VLOOKUP(C17,B57:C58,2,FALSE))=9,$H$17/9*C24,IF((VLOOKUP(C17,B57:C58,2,FALSE))=12,$H$16/12*C24)))),0)</f>
        <v>0</v>
      </c>
      <c r="D29" s="36">
        <f>ROUND((IF(D25&lt;(($H$16/12)*D24),D25,IF((VLOOKUP(C17,B57:C58,2,FALSE))=9,$H$17/9*D24,IF((VLOOKUP(C17,B57:C58,2,FALSE))=12,$H$16/12*D24)))),0)</f>
        <v>0</v>
      </c>
      <c r="E29" s="36">
        <f>ROUND((IF(E25&lt;(($H$16/12)*E24),E25,IF((VLOOKUP(C17,B57:C58,2,FALSE))=9,$H$17/9*E24,IF((VLOOKUP(C17,B57:C58,2,FALSE))=12,$H$16/12*E24)))),0)</f>
        <v>0</v>
      </c>
      <c r="F29" s="36">
        <f>ROUND((IF(F25&lt;(($H$16/12)*F24),F25,IF((VLOOKUP(C17,B57:C58,2,FALSE))=9,$H$17/9*F24,IF((VLOOKUP(C17,B57:C58,2,FALSE))=12,$H$16/12*F24)))),0)</f>
        <v>0</v>
      </c>
      <c r="G29" s="28">
        <f>ROUND((IF(G25&lt;(($H$16/12)*G24),G25,IF((VLOOKUP(C17,B57:C58,2,FALSE))=9,$H$17/9*G24,IF((VLOOKUP(C17,B57:C58,2,FALSE))=12,$H$16/12*G24)))),0)</f>
        <v>0</v>
      </c>
      <c r="H29" s="36">
        <f>SUM(C29:G29)</f>
        <v>0</v>
      </c>
      <c r="I29" s="43"/>
    </row>
    <row r="30" spans="2:9" x14ac:dyDescent="0.35">
      <c r="B30" s="16" t="s">
        <v>21</v>
      </c>
      <c r="C30" s="36">
        <f>ROUND((SUM(C29*$H$20)),0)</f>
        <v>0</v>
      </c>
      <c r="D30" s="36">
        <f>ROUND((SUM(D29*$H$20)),0)</f>
        <v>0</v>
      </c>
      <c r="E30" s="36">
        <f>ROUND((SUM(E29*$H$20)),0)</f>
        <v>0</v>
      </c>
      <c r="F30" s="36">
        <f>ROUND((SUM(F29*$H$20)),0)</f>
        <v>0</v>
      </c>
      <c r="G30" s="36">
        <f>ROUND((SUM(G29*$H$20)),0)</f>
        <v>0</v>
      </c>
      <c r="H30" s="36">
        <f>SUM(C30:G30)</f>
        <v>0</v>
      </c>
      <c r="I30" s="43"/>
    </row>
    <row r="31" spans="2:9" x14ac:dyDescent="0.35">
      <c r="B31" s="17"/>
      <c r="C31" s="12"/>
      <c r="D31" s="12"/>
      <c r="E31" s="12"/>
      <c r="F31" s="12"/>
      <c r="G31" s="12"/>
      <c r="H31" s="12"/>
      <c r="I31" s="43"/>
    </row>
    <row r="32" spans="2:9" x14ac:dyDescent="0.35">
      <c r="B32" s="20" t="s">
        <v>42</v>
      </c>
      <c r="C32" s="21" t="s">
        <v>2</v>
      </c>
      <c r="D32" s="21" t="s">
        <v>3</v>
      </c>
      <c r="E32" s="21" t="s">
        <v>4</v>
      </c>
      <c r="F32" s="21" t="s">
        <v>5</v>
      </c>
      <c r="G32" s="21" t="s">
        <v>6</v>
      </c>
      <c r="H32" s="25" t="s">
        <v>16</v>
      </c>
      <c r="I32" s="43"/>
    </row>
    <row r="33" spans="1:9" ht="15" customHeight="1" x14ac:dyDescent="0.35">
      <c r="B33" s="10" t="s">
        <v>43</v>
      </c>
      <c r="C33" s="22">
        <f t="shared" ref="C33:G34" si="0">IF((C25-C29)&gt;=0,(C25-C29),"$0")</f>
        <v>0</v>
      </c>
      <c r="D33" s="22">
        <f t="shared" si="0"/>
        <v>0</v>
      </c>
      <c r="E33" s="22">
        <f t="shared" si="0"/>
        <v>0</v>
      </c>
      <c r="F33" s="22">
        <f t="shared" si="0"/>
        <v>0</v>
      </c>
      <c r="G33" s="22">
        <f t="shared" si="0"/>
        <v>0</v>
      </c>
      <c r="H33" s="22">
        <f>SUM(C33:G33)</f>
        <v>0</v>
      </c>
      <c r="I33" s="44"/>
    </row>
    <row r="34" spans="1:9" ht="15" customHeight="1" x14ac:dyDescent="0.35">
      <c r="B34" s="10" t="s">
        <v>44</v>
      </c>
      <c r="C34" s="22">
        <f t="shared" si="0"/>
        <v>0</v>
      </c>
      <c r="D34" s="22">
        <f t="shared" si="0"/>
        <v>0</v>
      </c>
      <c r="E34" s="22">
        <f t="shared" si="0"/>
        <v>0</v>
      </c>
      <c r="F34" s="22">
        <f t="shared" si="0"/>
        <v>0</v>
      </c>
      <c r="G34" s="22">
        <f t="shared" si="0"/>
        <v>0</v>
      </c>
      <c r="H34" s="22">
        <f>SUM(C34:G34)</f>
        <v>0</v>
      </c>
      <c r="I34" s="44"/>
    </row>
    <row r="35" spans="1:9" ht="15" customHeight="1" x14ac:dyDescent="0.35">
      <c r="B35" s="10" t="s">
        <v>45</v>
      </c>
      <c r="C35" s="22">
        <f t="shared" ref="C35:G35" si="1">SUM(C33:C34)</f>
        <v>0</v>
      </c>
      <c r="D35" s="22">
        <f t="shared" si="1"/>
        <v>0</v>
      </c>
      <c r="E35" s="22">
        <f t="shared" si="1"/>
        <v>0</v>
      </c>
      <c r="F35" s="22">
        <f t="shared" si="1"/>
        <v>0</v>
      </c>
      <c r="G35" s="22">
        <f t="shared" si="1"/>
        <v>0</v>
      </c>
      <c r="H35" s="22">
        <f>SUM(H33:H34)</f>
        <v>0</v>
      </c>
      <c r="I35" s="44"/>
    </row>
    <row r="36" spans="1:9" ht="15" customHeight="1" x14ac:dyDescent="0.35">
      <c r="B36" s="11" t="s">
        <v>59</v>
      </c>
      <c r="C36" s="81" t="e">
        <f>VLOOKUP($C$20,$B$61:$H$66,3,FALSE)</f>
        <v>#N/A</v>
      </c>
      <c r="D36" s="81" t="e">
        <f>VLOOKUP($C$20,$B$61:$H$66,4,FALSE)</f>
        <v>#N/A</v>
      </c>
      <c r="E36" s="81" t="e">
        <f>VLOOKUP($C$20,$B$61:$H$66,5,FALSE)</f>
        <v>#N/A</v>
      </c>
      <c r="F36" s="81" t="e">
        <f>VLOOKUP($C$20,$B$61:$H$66,6,FALSE)</f>
        <v>#N/A</v>
      </c>
      <c r="G36" s="81" t="e">
        <f>VLOOKUP($C$20,$B$61:$H$66,7,FALSE)</f>
        <v>#N/A</v>
      </c>
      <c r="H36" s="26"/>
      <c r="I36" s="44"/>
    </row>
    <row r="37" spans="1:9" ht="15" customHeight="1" thickBot="1" x14ac:dyDescent="0.4">
      <c r="B37" s="11" t="s">
        <v>46</v>
      </c>
      <c r="C37" s="26">
        <f>IFERROR(IF(OR($C$18=0, $C$20=0), "Select Project", ROUND(C36*C35,0)),0)</f>
        <v>0</v>
      </c>
      <c r="D37" s="26">
        <f t="shared" ref="D37:G37" si="2">IFERROR(IF(OR($C$18=0, $C$20=0), "Select Project", ROUND(D36*D35,0)),0)</f>
        <v>0</v>
      </c>
      <c r="E37" s="26">
        <f t="shared" si="2"/>
        <v>0</v>
      </c>
      <c r="F37" s="26">
        <f t="shared" si="2"/>
        <v>0</v>
      </c>
      <c r="G37" s="26">
        <f t="shared" si="2"/>
        <v>0</v>
      </c>
      <c r="H37" s="26">
        <f>SUM(C37:G37)</f>
        <v>0</v>
      </c>
      <c r="I37" s="44"/>
    </row>
    <row r="38" spans="1:9" s="45" customFormat="1" x14ac:dyDescent="0.35">
      <c r="B38" s="1" t="s">
        <v>47</v>
      </c>
      <c r="C38" s="27">
        <f>IFERROR(C35+C37, 0)</f>
        <v>0</v>
      </c>
      <c r="D38" s="27">
        <f t="shared" ref="D38:G38" si="3">IFERROR(D35+D37, 0)</f>
        <v>0</v>
      </c>
      <c r="E38" s="27">
        <f t="shared" si="3"/>
        <v>0</v>
      </c>
      <c r="F38" s="27">
        <f t="shared" si="3"/>
        <v>0</v>
      </c>
      <c r="G38" s="27">
        <f t="shared" si="3"/>
        <v>0</v>
      </c>
      <c r="H38" s="27">
        <f>SUM(H35:H37)</f>
        <v>0</v>
      </c>
      <c r="I38" s="46"/>
    </row>
    <row r="39" spans="1:9" s="45" customFormat="1" ht="15" customHeight="1" x14ac:dyDescent="0.35">
      <c r="A39" s="41"/>
      <c r="B39" s="2"/>
      <c r="C39" s="3"/>
      <c r="D39" s="3"/>
      <c r="E39" s="3"/>
      <c r="F39" s="3"/>
      <c r="G39" s="3"/>
      <c r="H39" s="3"/>
      <c r="I39" s="46"/>
    </row>
    <row r="40" spans="1:9" s="45" customFormat="1" x14ac:dyDescent="0.35">
      <c r="B40" s="7" t="s">
        <v>48</v>
      </c>
      <c r="C40" s="8">
        <f>H38</f>
        <v>0</v>
      </c>
      <c r="D40" s="6"/>
      <c r="E40" s="6"/>
      <c r="F40" s="6"/>
      <c r="G40" s="6"/>
      <c r="H40" s="6"/>
      <c r="I40" s="46"/>
    </row>
    <row r="41" spans="1:9" ht="12" customHeight="1" x14ac:dyDescent="0.35">
      <c r="B41" s="4"/>
      <c r="C41" s="5"/>
      <c r="D41" s="5"/>
      <c r="E41" s="5"/>
      <c r="F41" s="5"/>
      <c r="G41" s="5"/>
      <c r="H41" s="5"/>
    </row>
    <row r="42" spans="1:9" ht="15" customHeight="1" x14ac:dyDescent="0.35">
      <c r="B42" s="94" t="s">
        <v>72</v>
      </c>
      <c r="C42" s="95"/>
      <c r="D42" s="95"/>
      <c r="E42" s="95"/>
      <c r="F42" s="95"/>
      <c r="G42" s="95"/>
      <c r="H42" s="96"/>
    </row>
    <row r="43" spans="1:9" ht="15" customHeight="1" x14ac:dyDescent="0.35">
      <c r="B43" s="97"/>
      <c r="C43" s="98"/>
      <c r="D43" s="98"/>
      <c r="E43" s="98"/>
      <c r="F43" s="98"/>
      <c r="G43" s="98"/>
      <c r="H43" s="99"/>
      <c r="I43" s="44"/>
    </row>
    <row r="44" spans="1:9" x14ac:dyDescent="0.35">
      <c r="B44" s="100" t="s">
        <v>33</v>
      </c>
      <c r="C44" s="101"/>
      <c r="D44" s="101"/>
      <c r="E44" s="101"/>
      <c r="F44" s="101"/>
      <c r="G44" s="101"/>
      <c r="H44" s="102"/>
    </row>
    <row r="46" spans="1:9" x14ac:dyDescent="0.35">
      <c r="B46" s="47"/>
      <c r="C46" s="47"/>
      <c r="D46" s="47"/>
      <c r="E46" s="47"/>
      <c r="F46" s="47"/>
      <c r="G46" s="47"/>
      <c r="H46" s="47"/>
    </row>
    <row r="47" spans="1:9" ht="15" hidden="1" customHeight="1" x14ac:dyDescent="0.35">
      <c r="B47" s="72" t="s">
        <v>50</v>
      </c>
      <c r="C47" s="72" t="s">
        <v>51</v>
      </c>
      <c r="D47" s="72" t="s">
        <v>51</v>
      </c>
      <c r="E47" s="72" t="s">
        <v>51</v>
      </c>
      <c r="F47" s="47"/>
      <c r="G47" s="47"/>
      <c r="H47" s="47"/>
    </row>
    <row r="48" spans="1:9" ht="15" hidden="1" customHeight="1" x14ac:dyDescent="0.35">
      <c r="B48" s="73" t="s">
        <v>52</v>
      </c>
      <c r="C48" s="74">
        <v>41933</v>
      </c>
      <c r="D48" s="75">
        <v>44013</v>
      </c>
      <c r="E48" s="76">
        <v>44378</v>
      </c>
    </row>
    <row r="49" spans="2:8" ht="15" hidden="1" customHeight="1" x14ac:dyDescent="0.35">
      <c r="B49" s="77" t="s">
        <v>53</v>
      </c>
      <c r="C49" s="78">
        <v>0.51</v>
      </c>
      <c r="D49" s="79">
        <v>0.52</v>
      </c>
      <c r="E49" s="80">
        <v>0.53</v>
      </c>
    </row>
    <row r="50" spans="2:8" ht="15" hidden="1" customHeight="1" x14ac:dyDescent="0.35">
      <c r="B50" s="77" t="s">
        <v>54</v>
      </c>
      <c r="C50" s="78">
        <v>0.26</v>
      </c>
      <c r="D50" s="79">
        <v>0.26</v>
      </c>
      <c r="E50" s="80">
        <v>0.26</v>
      </c>
    </row>
    <row r="51" spans="2:8" ht="15" hidden="1" customHeight="1" x14ac:dyDescent="0.35">
      <c r="B51" s="77" t="s">
        <v>55</v>
      </c>
      <c r="C51" s="78">
        <v>0.53</v>
      </c>
      <c r="D51" s="79">
        <v>0.54</v>
      </c>
      <c r="E51" s="80">
        <v>0.54</v>
      </c>
    </row>
    <row r="52" spans="2:8" ht="15" hidden="1" customHeight="1" x14ac:dyDescent="0.35">
      <c r="B52" s="77" t="s">
        <v>56</v>
      </c>
      <c r="C52" s="78">
        <v>0.26</v>
      </c>
      <c r="D52" s="79">
        <v>0.26</v>
      </c>
      <c r="E52" s="80">
        <v>0.26</v>
      </c>
    </row>
    <row r="53" spans="2:8" ht="15" hidden="1" customHeight="1" x14ac:dyDescent="0.35">
      <c r="B53" s="77" t="s">
        <v>57</v>
      </c>
      <c r="C53" s="78">
        <v>0.38</v>
      </c>
      <c r="D53" s="79">
        <v>0.36</v>
      </c>
      <c r="E53" s="80">
        <v>0.36</v>
      </c>
    </row>
    <row r="54" spans="2:8" ht="15" hidden="1" customHeight="1" x14ac:dyDescent="0.35">
      <c r="B54" s="77" t="s">
        <v>58</v>
      </c>
      <c r="C54" s="78">
        <v>0.26</v>
      </c>
      <c r="D54" s="79">
        <v>0.26</v>
      </c>
      <c r="E54" s="80">
        <v>0.26</v>
      </c>
    </row>
    <row r="55" spans="2:8" ht="15" hidden="1" customHeight="1" x14ac:dyDescent="0.35">
      <c r="B55" s="66"/>
      <c r="C55" s="66"/>
    </row>
    <row r="56" spans="2:8" ht="15" hidden="1" customHeight="1" x14ac:dyDescent="0.35">
      <c r="B56" s="67" t="s">
        <v>19</v>
      </c>
      <c r="C56" s="66"/>
    </row>
    <row r="57" spans="2:8" ht="15" hidden="1" customHeight="1" x14ac:dyDescent="0.35">
      <c r="B57" s="68" t="s">
        <v>35</v>
      </c>
      <c r="C57" s="69">
        <v>9</v>
      </c>
    </row>
    <row r="58" spans="2:8" hidden="1" x14ac:dyDescent="0.35">
      <c r="B58" s="70" t="s">
        <v>36</v>
      </c>
      <c r="C58" s="71">
        <v>12</v>
      </c>
    </row>
    <row r="59" spans="2:8" hidden="1" x14ac:dyDescent="0.35">
      <c r="B59" s="54"/>
      <c r="C59" s="43"/>
    </row>
    <row r="60" spans="2:8" hidden="1" x14ac:dyDescent="0.35">
      <c r="B60" s="82"/>
      <c r="C60" s="82"/>
      <c r="D60" s="82" t="s">
        <v>60</v>
      </c>
      <c r="E60" s="82" t="s">
        <v>61</v>
      </c>
      <c r="F60" s="82" t="s">
        <v>62</v>
      </c>
      <c r="G60" s="82" t="s">
        <v>63</v>
      </c>
      <c r="H60" s="82" t="s">
        <v>64</v>
      </c>
    </row>
    <row r="61" spans="2:8" hidden="1" x14ac:dyDescent="0.35">
      <c r="B61" s="82" t="s">
        <v>66</v>
      </c>
      <c r="C61" s="82"/>
      <c r="D61" s="83">
        <f>IF($C$18&gt;DATE(2013, 1, 1),IF($C$18&gt;DATE(2020, 6, 30), IF($C$18&gt;DATE(2021, 6, 30), $E49, $D49), $C49),"ENTER START")</f>
        <v>0.53</v>
      </c>
      <c r="E61" s="84" t="e">
        <f>IF($C$18=0, "DATE IN CELL", IF(DATE(YEAR($C$18)+1, MONTH($C$18), DAY($C$18))&gt;DATE(2021, 6, 30),$E49, IF(AND(DATE(YEAR($C$18)+1, MONTH($C$18), DAY($C$18))&gt;DATE(2020, 6, 30),(DATE(YEAR($C$18)+1, MONTH($C$18), DAY($C$18))&lt;DATE(2021, 7, 1))), $D49, $C49)))</f>
        <v>#VALUE!</v>
      </c>
      <c r="F61" s="84" t="e">
        <f>IF($C$18=0, "C18     !!!", IF(DATE(YEAR($C$18)+2, MONTH($C$18), DAY($C$18))&gt;DATE(2021, 6, 30),$E49, IF(AND(DATE(YEAR($C$18)+2, MONTH($C$18), DAY($C$18))&gt;DATE(2020, 6, 30),(DATE(YEAR($C$18)+2, MONTH($C$18), DAY($C$18))&lt;DATE(2021, 7, 1))), $D49, $C49)))</f>
        <v>#VALUE!</v>
      </c>
      <c r="G61" s="84" t="e">
        <f>IF($C$18=0, "!!!", IF(DATE(YEAR($C$18)+3, MONTH($C$18), DAY($C$18))&gt;DATE(2021, 6, 30),$E49, IF(AND(DATE(YEAR($C$18)+3, MONTH($C$18), DAY($C$18))&gt;DATE(2020, 6, 30),(DATE(YEAR($C$18)+3, MONTH($C$18), DAY($C$18))&lt;DATE(2021, 7, 1))), $D49, $C49)))</f>
        <v>#VALUE!</v>
      </c>
      <c r="H61" s="84" t="e">
        <f>IF($C$18=0, "!!!", IF(DATE(YEAR($C$18)+4, MONTH($C$18), DAY($C$18))&gt;DATE(2021, 6, 30),$E49, IF(AND(DATE(YEAR($C$18)+4, MONTH($C$18), DAY($C$18))&gt;DATE(2020, 6, 30),(DATE(YEAR($C$18)+4, MONTH($C$18), DAY($C$18))&lt;DATE(2021, 7, 1))), $D49, $C49)))</f>
        <v>#VALUE!</v>
      </c>
    </row>
    <row r="62" spans="2:8" hidden="1" x14ac:dyDescent="0.35">
      <c r="B62" s="82" t="s">
        <v>67</v>
      </c>
      <c r="C62" s="82"/>
      <c r="D62" s="83">
        <f t="shared" ref="D62:D66" si="4">IF($C$18&gt;DATE(2013, 1, 1),IF($C$18&gt;DATE(2020, 6, 30), IF($C$18&gt;DATE(2021, 6, 30), $E50, $D50), $C50),"ENTER START")</f>
        <v>0.26</v>
      </c>
      <c r="E62" s="84" t="e">
        <f t="shared" ref="E62:E66" si="5">IF($C$18=0, "DATE IN CELL", IF(DATE(YEAR($C$18)+1, MONTH($C$18), DAY($C$18))&gt;DATE(2021, 6, 30),$E50, IF(AND(DATE(YEAR($C$18)+1, MONTH($C$18), DAY($C$18))&gt;DATE(2020, 6, 30),(DATE(YEAR($C$18)+1, MONTH($C$18), DAY($C$18))&lt;DATE(2021, 7, 1))), $D50, $C50)))</f>
        <v>#VALUE!</v>
      </c>
      <c r="F62" s="84" t="e">
        <f t="shared" ref="F62:F66" si="6">IF($C$18=0, "C18     !!!", IF(DATE(YEAR($C$18)+2, MONTH($C$18), DAY($C$18))&gt;DATE(2021, 6, 30),$E50, IF(AND(DATE(YEAR($C$18)+2, MONTH($C$18), DAY($C$18))&gt;DATE(2020, 6, 30),(DATE(YEAR($C$18)+2, MONTH($C$18), DAY($C$18))&lt;DATE(2021, 7, 1))), $D50, $C50)))</f>
        <v>#VALUE!</v>
      </c>
      <c r="G62" s="84" t="e">
        <f t="shared" ref="G62:G66" si="7">IF($C$18=0, "!!!", IF(DATE(YEAR($C$18)+3, MONTH($C$18), DAY($C$18))&gt;DATE(2021, 6, 30),$E50, IF(AND(DATE(YEAR($C$18)+3, MONTH($C$18), DAY($C$18))&gt;DATE(2020, 6, 30),(DATE(YEAR($C$18)+3, MONTH($C$18), DAY($C$18))&lt;DATE(2021, 7, 1))), $D50, $C50)))</f>
        <v>#VALUE!</v>
      </c>
      <c r="H62" s="84" t="e">
        <f t="shared" ref="H62:H66" si="8">IF($C$18=0, "!!!", IF(DATE(YEAR($C$18)+4, MONTH($C$18), DAY($C$18))&gt;DATE(2021, 6, 30),$E50, IF(AND(DATE(YEAR($C$18)+4, MONTH($C$18), DAY($C$18))&gt;DATE(2020, 6, 30),(DATE(YEAR($C$18)+4, MONTH($C$18), DAY($C$18))&lt;DATE(2021, 7, 1))), $D50, $C50)))</f>
        <v>#VALUE!</v>
      </c>
    </row>
    <row r="63" spans="2:8" hidden="1" x14ac:dyDescent="0.35">
      <c r="B63" s="82" t="s">
        <v>68</v>
      </c>
      <c r="C63" s="82"/>
      <c r="D63" s="83">
        <f t="shared" si="4"/>
        <v>0.54</v>
      </c>
      <c r="E63" s="84" t="e">
        <f t="shared" si="5"/>
        <v>#VALUE!</v>
      </c>
      <c r="F63" s="84" t="e">
        <f t="shared" si="6"/>
        <v>#VALUE!</v>
      </c>
      <c r="G63" s="84" t="e">
        <f t="shared" si="7"/>
        <v>#VALUE!</v>
      </c>
      <c r="H63" s="84" t="e">
        <f t="shared" si="8"/>
        <v>#VALUE!</v>
      </c>
    </row>
    <row r="64" spans="2:8" hidden="1" x14ac:dyDescent="0.35">
      <c r="B64" s="82" t="s">
        <v>69</v>
      </c>
      <c r="C64" s="82"/>
      <c r="D64" s="83">
        <f t="shared" si="4"/>
        <v>0.26</v>
      </c>
      <c r="E64" s="84" t="e">
        <f t="shared" si="5"/>
        <v>#VALUE!</v>
      </c>
      <c r="F64" s="84" t="e">
        <f t="shared" si="6"/>
        <v>#VALUE!</v>
      </c>
      <c r="G64" s="84" t="e">
        <f t="shared" si="7"/>
        <v>#VALUE!</v>
      </c>
      <c r="H64" s="84" t="e">
        <f t="shared" si="8"/>
        <v>#VALUE!</v>
      </c>
    </row>
    <row r="65" spans="2:8" hidden="1" x14ac:dyDescent="0.35">
      <c r="B65" s="82" t="s">
        <v>70</v>
      </c>
      <c r="C65" s="82"/>
      <c r="D65" s="83">
        <f t="shared" si="4"/>
        <v>0.36</v>
      </c>
      <c r="E65" s="84" t="e">
        <f t="shared" si="5"/>
        <v>#VALUE!</v>
      </c>
      <c r="F65" s="84" t="e">
        <f t="shared" si="6"/>
        <v>#VALUE!</v>
      </c>
      <c r="G65" s="84" t="e">
        <f t="shared" si="7"/>
        <v>#VALUE!</v>
      </c>
      <c r="H65" s="84" t="e">
        <f t="shared" si="8"/>
        <v>#VALUE!</v>
      </c>
    </row>
    <row r="66" spans="2:8" hidden="1" x14ac:dyDescent="0.35">
      <c r="B66" s="85" t="s">
        <v>71</v>
      </c>
      <c r="C66" s="85"/>
      <c r="D66" s="83">
        <f t="shared" si="4"/>
        <v>0.26</v>
      </c>
      <c r="E66" s="84" t="e">
        <f t="shared" si="5"/>
        <v>#VALUE!</v>
      </c>
      <c r="F66" s="84" t="e">
        <f t="shared" si="6"/>
        <v>#VALUE!</v>
      </c>
      <c r="G66" s="84" t="e">
        <f t="shared" si="7"/>
        <v>#VALUE!</v>
      </c>
      <c r="H66" s="84" t="e">
        <f t="shared" si="8"/>
        <v>#VALUE!</v>
      </c>
    </row>
    <row r="67" spans="2:8" x14ac:dyDescent="0.35">
      <c r="B67" s="82"/>
      <c r="C67" s="82"/>
      <c r="D67" s="86"/>
      <c r="E67" s="87"/>
      <c r="F67" s="87"/>
      <c r="G67" s="87"/>
      <c r="H67" s="87"/>
    </row>
  </sheetData>
  <sheetProtection algorithmName="SHA-512" hashValue="55ntSaI8izKVj5xpBTRMRbk5lH9IHPDFX/87zqrppH4QxW8KroO7HHEEo4SX+VsY/10HI/ZB7sU0VEUGQaCgBg==" saltValue="99rLAQH1ZDCDVsG1rJml2w==" spinCount="100000" sheet="1" objects="1" scenarios="1" selectLockedCells="1"/>
  <mergeCells count="16">
    <mergeCell ref="B2:H2"/>
    <mergeCell ref="B5:H11"/>
    <mergeCell ref="B12:H12"/>
    <mergeCell ref="C16:D16"/>
    <mergeCell ref="E16:G16"/>
    <mergeCell ref="B44:H44"/>
    <mergeCell ref="C20:D20"/>
    <mergeCell ref="E20:G20"/>
    <mergeCell ref="B3:H3"/>
    <mergeCell ref="C17:D17"/>
    <mergeCell ref="E17:G17"/>
    <mergeCell ref="C18:D18"/>
    <mergeCell ref="E18:G18"/>
    <mergeCell ref="C19:D19"/>
    <mergeCell ref="E19:G19"/>
    <mergeCell ref="B42:H43"/>
  </mergeCells>
  <hyperlinks>
    <hyperlink ref="B12:H12" r:id="rId1" display="FI0208 – Sponsored Projects – Federal Salary Rate Limitation" xr:uid="{00000000-0004-0000-0100-000000000000}"/>
  </hyperlinks>
  <printOptions horizontalCentered="1" verticalCentered="1"/>
  <pageMargins left="0.5" right="0.5" top="0.75" bottom="0.75" header="0.3" footer="0.3"/>
  <pageSetup scale="9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8"/>
  <sheetViews>
    <sheetView workbookViewId="0">
      <pane ySplit="14" topLeftCell="A15" activePane="bottomLeft" state="frozen"/>
      <selection pane="bottomLeft" activeCell="N10" sqref="N10"/>
    </sheetView>
  </sheetViews>
  <sheetFormatPr defaultColWidth="9.1796875" defaultRowHeight="14.5" x14ac:dyDescent="0.35"/>
  <cols>
    <col min="1" max="1" width="3.453125" style="41" customWidth="1"/>
    <col min="2" max="2" width="38" style="41" customWidth="1"/>
    <col min="3" max="4" width="15.7265625" style="41" customWidth="1"/>
    <col min="5" max="8" width="12.81640625" style="41" customWidth="1"/>
    <col min="9" max="9" width="6.26953125" style="41" customWidth="1"/>
    <col min="10" max="16384" width="9.1796875" style="41"/>
  </cols>
  <sheetData>
    <row r="1" spans="2:9" ht="7.5" customHeight="1" x14ac:dyDescent="0.35"/>
    <row r="2" spans="2:9" x14ac:dyDescent="0.35">
      <c r="B2" s="114" t="s">
        <v>40</v>
      </c>
      <c r="C2" s="115"/>
      <c r="D2" s="115"/>
      <c r="E2" s="115"/>
      <c r="F2" s="115"/>
      <c r="G2" s="115"/>
      <c r="H2" s="116"/>
    </row>
    <row r="3" spans="2:9" ht="15.75" customHeight="1" x14ac:dyDescent="0.35">
      <c r="B3" s="117" t="s">
        <v>37</v>
      </c>
      <c r="C3" s="118"/>
      <c r="D3" s="118"/>
      <c r="E3" s="118"/>
      <c r="F3" s="118"/>
      <c r="G3" s="118"/>
      <c r="H3" s="119"/>
    </row>
    <row r="4" spans="2:9" ht="7.5" customHeight="1" x14ac:dyDescent="0.35">
      <c r="B4" s="23"/>
      <c r="C4" s="23"/>
      <c r="D4" s="23"/>
      <c r="E4" s="23"/>
      <c r="F4" s="23"/>
      <c r="G4" s="23"/>
      <c r="H4" s="23"/>
    </row>
    <row r="5" spans="2:9" ht="15" customHeight="1" x14ac:dyDescent="0.35">
      <c r="B5" s="120" t="s">
        <v>49</v>
      </c>
      <c r="C5" s="121"/>
      <c r="D5" s="121"/>
      <c r="E5" s="121"/>
      <c r="F5" s="121"/>
      <c r="G5" s="121"/>
      <c r="H5" s="122"/>
    </row>
    <row r="6" spans="2:9" x14ac:dyDescent="0.35">
      <c r="B6" s="123"/>
      <c r="C6" s="124"/>
      <c r="D6" s="124"/>
      <c r="E6" s="124"/>
      <c r="F6" s="124"/>
      <c r="G6" s="124"/>
      <c r="H6" s="125"/>
    </row>
    <row r="7" spans="2:9" x14ac:dyDescent="0.35">
      <c r="B7" s="123"/>
      <c r="C7" s="124"/>
      <c r="D7" s="124"/>
      <c r="E7" s="124"/>
      <c r="F7" s="124"/>
      <c r="G7" s="124"/>
      <c r="H7" s="125"/>
    </row>
    <row r="8" spans="2:9" x14ac:dyDescent="0.35">
      <c r="B8" s="123"/>
      <c r="C8" s="124"/>
      <c r="D8" s="124"/>
      <c r="E8" s="124"/>
      <c r="F8" s="124"/>
      <c r="G8" s="124"/>
      <c r="H8" s="125"/>
    </row>
    <row r="9" spans="2:9" x14ac:dyDescent="0.35">
      <c r="B9" s="123"/>
      <c r="C9" s="124"/>
      <c r="D9" s="124"/>
      <c r="E9" s="124"/>
      <c r="F9" s="124"/>
      <c r="G9" s="124"/>
      <c r="H9" s="125"/>
    </row>
    <row r="10" spans="2:9" ht="14.25" customHeight="1" x14ac:dyDescent="0.35">
      <c r="B10" s="123"/>
      <c r="C10" s="124"/>
      <c r="D10" s="124"/>
      <c r="E10" s="124"/>
      <c r="F10" s="124"/>
      <c r="G10" s="124"/>
      <c r="H10" s="125"/>
    </row>
    <row r="11" spans="2:9" ht="29.25" customHeight="1" x14ac:dyDescent="0.35">
      <c r="B11" s="123"/>
      <c r="C11" s="124"/>
      <c r="D11" s="124"/>
      <c r="E11" s="124"/>
      <c r="F11" s="124"/>
      <c r="G11" s="124"/>
      <c r="H11" s="125"/>
    </row>
    <row r="12" spans="2:9" x14ac:dyDescent="0.35">
      <c r="B12" s="126"/>
      <c r="C12" s="127"/>
      <c r="D12" s="127"/>
      <c r="E12" s="127"/>
      <c r="F12" s="127"/>
      <c r="G12" s="127"/>
      <c r="H12" s="128"/>
    </row>
    <row r="13" spans="2:9" x14ac:dyDescent="0.35">
      <c r="B13" s="60"/>
      <c r="C13" s="61"/>
      <c r="D13" s="61"/>
      <c r="E13" s="61"/>
      <c r="F13" s="64"/>
      <c r="G13" s="61"/>
      <c r="H13" s="62"/>
    </row>
    <row r="14" spans="2:9" x14ac:dyDescent="0.35">
      <c r="B14" s="29"/>
      <c r="C14" s="30"/>
      <c r="D14" s="30"/>
      <c r="E14" s="30"/>
      <c r="F14" s="30"/>
      <c r="G14" s="30"/>
      <c r="H14" s="31"/>
    </row>
    <row r="15" spans="2:9" ht="7.5" customHeight="1" x14ac:dyDescent="0.35">
      <c r="B15" s="12"/>
      <c r="C15" s="12"/>
      <c r="D15" s="12"/>
      <c r="E15" s="12"/>
      <c r="F15" s="12"/>
      <c r="G15" s="12"/>
      <c r="H15" s="12"/>
    </row>
    <row r="16" spans="2:9" ht="15" customHeight="1" x14ac:dyDescent="0.35">
      <c r="B16" s="13" t="s">
        <v>8</v>
      </c>
      <c r="C16" s="141" t="str">
        <f>IF(ISBLANK('Salary Cap Calculator'!C16:D16)," ", 'Salary Cap Calculator'!C16:D16)</f>
        <v xml:space="preserve"> </v>
      </c>
      <c r="D16" s="142"/>
      <c r="E16" s="111" t="s">
        <v>31</v>
      </c>
      <c r="F16" s="112"/>
      <c r="G16" s="113"/>
      <c r="H16" s="32">
        <f>'Salary Cap Calculator'!H16</f>
        <v>199300</v>
      </c>
      <c r="I16" s="42"/>
    </row>
    <row r="17" spans="2:9" ht="15" customHeight="1" x14ac:dyDescent="0.35">
      <c r="B17" s="13" t="s">
        <v>1</v>
      </c>
      <c r="C17" s="139" t="str">
        <f>IF(ISBLANK('Salary Cap Calculator'!C17:D17)," ", 'Salary Cap Calculator'!C17:D17)</f>
        <v>9-month</v>
      </c>
      <c r="D17" s="139"/>
      <c r="E17" s="111" t="s">
        <v>32</v>
      </c>
      <c r="F17" s="112"/>
      <c r="G17" s="113"/>
      <c r="H17" s="9">
        <f>SUM(H16/12*9)</f>
        <v>149475</v>
      </c>
      <c r="I17" s="42"/>
    </row>
    <row r="18" spans="2:9" x14ac:dyDescent="0.35">
      <c r="B18" s="13" t="s">
        <v>9</v>
      </c>
      <c r="C18" s="140" t="str">
        <f>IF(ISBLANK('Salary Cap Calculator'!C18:D18)," ", 'Salary Cap Calculator'!C18:D18)</f>
        <v xml:space="preserve"> </v>
      </c>
      <c r="D18" s="140"/>
      <c r="E18" s="103" t="s">
        <v>34</v>
      </c>
      <c r="F18" s="104"/>
      <c r="G18" s="105"/>
      <c r="H18" s="33">
        <f>'Salary Cap Calculator'!H18</f>
        <v>0</v>
      </c>
      <c r="I18" s="42"/>
    </row>
    <row r="19" spans="2:9" x14ac:dyDescent="0.35">
      <c r="B19" s="13" t="s">
        <v>13</v>
      </c>
      <c r="C19" s="140" t="str">
        <f>IF(ISBLANK('Salary Cap Calculator'!C19:D19)," ", 'Salary Cap Calculator'!C19:D19)</f>
        <v xml:space="preserve"> </v>
      </c>
      <c r="D19" s="140"/>
      <c r="E19" s="103" t="s">
        <v>10</v>
      </c>
      <c r="F19" s="104"/>
      <c r="G19" s="105"/>
      <c r="H19" s="34">
        <f>'Salary Cap Calculator'!H19</f>
        <v>0</v>
      </c>
      <c r="I19" s="42"/>
    </row>
    <row r="20" spans="2:9" x14ac:dyDescent="0.35">
      <c r="B20" s="13" t="s">
        <v>12</v>
      </c>
      <c r="C20" s="137">
        <f>'Salary Cap Calculator'!C20:D20</f>
        <v>0</v>
      </c>
      <c r="D20" s="138"/>
      <c r="E20" s="103" t="s">
        <v>11</v>
      </c>
      <c r="F20" s="104"/>
      <c r="G20" s="105"/>
      <c r="H20" s="35" t="s">
        <v>38</v>
      </c>
      <c r="I20" s="42"/>
    </row>
    <row r="21" spans="2:9" x14ac:dyDescent="0.35">
      <c r="B21" s="12"/>
      <c r="C21" s="12"/>
      <c r="D21" s="12"/>
      <c r="E21" s="12"/>
      <c r="F21" s="12"/>
      <c r="G21" s="12"/>
      <c r="H21" s="12"/>
    </row>
    <row r="22" spans="2:9" x14ac:dyDescent="0.35">
      <c r="B22" s="14" t="s">
        <v>14</v>
      </c>
      <c r="C22" s="15" t="s">
        <v>2</v>
      </c>
      <c r="D22" s="15" t="s">
        <v>3</v>
      </c>
      <c r="E22" s="15" t="s">
        <v>4</v>
      </c>
      <c r="F22" s="15" t="s">
        <v>5</v>
      </c>
      <c r="G22" s="15" t="s">
        <v>6</v>
      </c>
      <c r="H22" s="15" t="s">
        <v>16</v>
      </c>
    </row>
    <row r="23" spans="2:9" x14ac:dyDescent="0.35">
      <c r="B23" s="16" t="s">
        <v>7</v>
      </c>
      <c r="C23" s="36">
        <f>ROUND((SUM(H18*(1+$H$19))),0)</f>
        <v>0</v>
      </c>
      <c r="D23" s="36">
        <f>ROUND((SUM(C23*(1+$H$19))),0)</f>
        <v>0</v>
      </c>
      <c r="E23" s="36">
        <f>ROUND((SUM(D23*(1+$H$19))),0)</f>
        <v>0</v>
      </c>
      <c r="F23" s="36">
        <f>ROUND((SUM(E23*(1+$H$19))),0)</f>
        <v>0</v>
      </c>
      <c r="G23" s="36">
        <f>ROUND((SUM(F23*(1+$H$19))),0)</f>
        <v>0</v>
      </c>
      <c r="H23" s="36"/>
    </row>
    <row r="24" spans="2:9" x14ac:dyDescent="0.35">
      <c r="B24" s="16" t="s">
        <v>28</v>
      </c>
      <c r="C24" s="37">
        <f>'Salary Cap Calculator'!C24+'If proposing ACAD &amp; SUM effort'!C24</f>
        <v>1</v>
      </c>
      <c r="D24" s="37">
        <f>'Salary Cap Calculator'!D24+'If proposing ACAD &amp; SUM effort'!D24</f>
        <v>1</v>
      </c>
      <c r="E24" s="37">
        <f>'Salary Cap Calculator'!E24+'If proposing ACAD &amp; SUM effort'!E24</f>
        <v>1</v>
      </c>
      <c r="F24" s="37">
        <f>'Salary Cap Calculator'!F24+'If proposing ACAD &amp; SUM effort'!F24</f>
        <v>1</v>
      </c>
      <c r="G24" s="37">
        <f>'Salary Cap Calculator'!G24+'If proposing ACAD &amp; SUM effort'!G24</f>
        <v>1</v>
      </c>
      <c r="H24" s="37">
        <f>'Salary Cap Calculator'!H24+'If proposing ACAD &amp; SUM effort'!H24</f>
        <v>5</v>
      </c>
    </row>
    <row r="25" spans="2:9" x14ac:dyDescent="0.35">
      <c r="B25" s="16" t="s">
        <v>29</v>
      </c>
      <c r="C25" s="36">
        <f>'Salary Cap Calculator'!C25+'If proposing ACAD &amp; SUM effort'!C25</f>
        <v>0</v>
      </c>
      <c r="D25" s="36">
        <f>'Salary Cap Calculator'!D25+'If proposing ACAD &amp; SUM effort'!D25</f>
        <v>0</v>
      </c>
      <c r="E25" s="36">
        <f>'Salary Cap Calculator'!E25+'If proposing ACAD &amp; SUM effort'!E25</f>
        <v>0</v>
      </c>
      <c r="F25" s="36">
        <f>'Salary Cap Calculator'!F25+'If proposing ACAD &amp; SUM effort'!F25</f>
        <v>0</v>
      </c>
      <c r="G25" s="36">
        <f>'Salary Cap Calculator'!G25+'If proposing ACAD &amp; SUM effort'!G25</f>
        <v>0</v>
      </c>
      <c r="H25" s="36">
        <f>'Salary Cap Calculator'!H25+'If proposing ACAD &amp; SUM effort'!H25</f>
        <v>0</v>
      </c>
    </row>
    <row r="26" spans="2:9" x14ac:dyDescent="0.35">
      <c r="B26" s="16" t="s">
        <v>30</v>
      </c>
      <c r="C26" s="36">
        <f>'Salary Cap Calculator'!C26+'If proposing ACAD &amp; SUM effort'!C26</f>
        <v>0</v>
      </c>
      <c r="D26" s="36">
        <f>'Salary Cap Calculator'!D26+'If proposing ACAD &amp; SUM effort'!D26</f>
        <v>0</v>
      </c>
      <c r="E26" s="36">
        <f>'Salary Cap Calculator'!E26+'If proposing ACAD &amp; SUM effort'!E26</f>
        <v>0</v>
      </c>
      <c r="F26" s="36">
        <f>'Salary Cap Calculator'!F26+'If proposing ACAD &amp; SUM effort'!F26</f>
        <v>0</v>
      </c>
      <c r="G26" s="36">
        <f>'Salary Cap Calculator'!G26+'If proposing ACAD &amp; SUM effort'!G26</f>
        <v>0</v>
      </c>
      <c r="H26" s="36">
        <f>'Salary Cap Calculator'!H26+'If proposing ACAD &amp; SUM effort'!H26</f>
        <v>0</v>
      </c>
    </row>
    <row r="27" spans="2:9" x14ac:dyDescent="0.35">
      <c r="B27" s="17"/>
      <c r="C27" s="18"/>
      <c r="D27" s="18"/>
      <c r="E27" s="18"/>
      <c r="F27" s="18"/>
      <c r="G27" s="18"/>
      <c r="H27" s="18"/>
    </row>
    <row r="28" spans="2:9" x14ac:dyDescent="0.35">
      <c r="B28" s="14" t="s">
        <v>15</v>
      </c>
      <c r="C28" s="15" t="s">
        <v>2</v>
      </c>
      <c r="D28" s="15" t="s">
        <v>3</v>
      </c>
      <c r="E28" s="15" t="s">
        <v>4</v>
      </c>
      <c r="F28" s="15" t="s">
        <v>5</v>
      </c>
      <c r="G28" s="15" t="s">
        <v>6</v>
      </c>
      <c r="H28" s="24" t="s">
        <v>16</v>
      </c>
      <c r="I28" s="43"/>
    </row>
    <row r="29" spans="2:9" x14ac:dyDescent="0.35">
      <c r="B29" s="16" t="s">
        <v>20</v>
      </c>
      <c r="C29" s="59">
        <f>'Salary Cap Calculator'!C29+'If proposing ACAD &amp; SUM effort'!C29</f>
        <v>0</v>
      </c>
      <c r="D29" s="59">
        <f>'Salary Cap Calculator'!D29+'If proposing ACAD &amp; SUM effort'!D29</f>
        <v>0</v>
      </c>
      <c r="E29" s="59">
        <f>'Salary Cap Calculator'!E29+'If proposing ACAD &amp; SUM effort'!E29</f>
        <v>0</v>
      </c>
      <c r="F29" s="59">
        <f>'Salary Cap Calculator'!F29+'If proposing ACAD &amp; SUM effort'!F29</f>
        <v>0</v>
      </c>
      <c r="G29" s="59">
        <f>'Salary Cap Calculator'!G29+'If proposing ACAD &amp; SUM effort'!G29</f>
        <v>0</v>
      </c>
      <c r="H29" s="36">
        <f>SUM(C29:G29)</f>
        <v>0</v>
      </c>
      <c r="I29" s="43"/>
    </row>
    <row r="30" spans="2:9" x14ac:dyDescent="0.35">
      <c r="B30" s="16" t="s">
        <v>21</v>
      </c>
      <c r="C30" s="36">
        <f>'Salary Cap Calculator'!C30+'If proposing ACAD &amp; SUM effort'!C30</f>
        <v>0</v>
      </c>
      <c r="D30" s="36">
        <f>'Salary Cap Calculator'!D30+'If proposing ACAD &amp; SUM effort'!D30</f>
        <v>0</v>
      </c>
      <c r="E30" s="36">
        <f>'Salary Cap Calculator'!E30+'If proposing ACAD &amp; SUM effort'!E30</f>
        <v>0</v>
      </c>
      <c r="F30" s="36">
        <f>'Salary Cap Calculator'!F30+'If proposing ACAD &amp; SUM effort'!F30</f>
        <v>0</v>
      </c>
      <c r="G30" s="36">
        <f>'Salary Cap Calculator'!G30+'If proposing ACAD &amp; SUM effort'!G30</f>
        <v>0</v>
      </c>
      <c r="H30" s="36">
        <f>'Salary Cap Calculator'!H30+'If proposing ACAD &amp; SUM effort'!H30</f>
        <v>0</v>
      </c>
      <c r="I30" s="43"/>
    </row>
    <row r="31" spans="2:9" x14ac:dyDescent="0.35">
      <c r="B31" s="17"/>
      <c r="C31" s="12"/>
      <c r="D31" s="12"/>
      <c r="E31" s="12"/>
      <c r="F31" s="12"/>
      <c r="G31" s="12"/>
      <c r="H31" s="12"/>
      <c r="I31" s="43"/>
    </row>
    <row r="32" spans="2:9" x14ac:dyDescent="0.35">
      <c r="B32" s="20" t="s">
        <v>42</v>
      </c>
      <c r="C32" s="21" t="s">
        <v>2</v>
      </c>
      <c r="D32" s="21" t="s">
        <v>3</v>
      </c>
      <c r="E32" s="21" t="s">
        <v>4</v>
      </c>
      <c r="F32" s="21" t="s">
        <v>5</v>
      </c>
      <c r="G32" s="21" t="s">
        <v>6</v>
      </c>
      <c r="H32" s="25" t="s">
        <v>16</v>
      </c>
      <c r="I32" s="43"/>
    </row>
    <row r="33" spans="1:9" ht="15" customHeight="1" x14ac:dyDescent="0.35">
      <c r="B33" s="10" t="s">
        <v>43</v>
      </c>
      <c r="C33" s="22">
        <f>'Salary Cap Calculator'!C33+'If proposing ACAD &amp; SUM effort'!C33</f>
        <v>0</v>
      </c>
      <c r="D33" s="22">
        <f>'Salary Cap Calculator'!D33+'If proposing ACAD &amp; SUM effort'!D33</f>
        <v>0</v>
      </c>
      <c r="E33" s="22">
        <f>'Salary Cap Calculator'!E33+'If proposing ACAD &amp; SUM effort'!E33</f>
        <v>0</v>
      </c>
      <c r="F33" s="22">
        <f>'Salary Cap Calculator'!F33+'If proposing ACAD &amp; SUM effort'!F33</f>
        <v>0</v>
      </c>
      <c r="G33" s="22">
        <f>'Salary Cap Calculator'!G33+'If proposing ACAD &amp; SUM effort'!G33</f>
        <v>0</v>
      </c>
      <c r="H33" s="22">
        <f>'Salary Cap Calculator'!H33+'If proposing ACAD &amp; SUM effort'!H33</f>
        <v>0</v>
      </c>
      <c r="I33" s="44"/>
    </row>
    <row r="34" spans="1:9" ht="15" customHeight="1" x14ac:dyDescent="0.35">
      <c r="B34" s="10" t="s">
        <v>44</v>
      </c>
      <c r="C34" s="22">
        <f>'Salary Cap Calculator'!C34+'If proposing ACAD &amp; SUM effort'!C34</f>
        <v>0</v>
      </c>
      <c r="D34" s="22">
        <f>'Salary Cap Calculator'!D34+'If proposing ACAD &amp; SUM effort'!D34</f>
        <v>0</v>
      </c>
      <c r="E34" s="22">
        <f>'Salary Cap Calculator'!E34+'If proposing ACAD &amp; SUM effort'!E34</f>
        <v>0</v>
      </c>
      <c r="F34" s="22">
        <f>'Salary Cap Calculator'!F34+'If proposing ACAD &amp; SUM effort'!F34</f>
        <v>0</v>
      </c>
      <c r="G34" s="22">
        <f>'Salary Cap Calculator'!G34+'If proposing ACAD &amp; SUM effort'!G34</f>
        <v>0</v>
      </c>
      <c r="H34" s="22">
        <f>'Salary Cap Calculator'!H34+'If proposing ACAD &amp; SUM effort'!H34</f>
        <v>0</v>
      </c>
      <c r="I34" s="44"/>
    </row>
    <row r="35" spans="1:9" ht="15" customHeight="1" x14ac:dyDescent="0.35">
      <c r="B35" s="10" t="s">
        <v>45</v>
      </c>
      <c r="C35" s="22">
        <f>'Salary Cap Calculator'!C35+'If proposing ACAD &amp; SUM effort'!C35</f>
        <v>0</v>
      </c>
      <c r="D35" s="22">
        <f>'Salary Cap Calculator'!D35+'If proposing ACAD &amp; SUM effort'!D35</f>
        <v>0</v>
      </c>
      <c r="E35" s="22">
        <f>'Salary Cap Calculator'!E35+'If proposing ACAD &amp; SUM effort'!E35</f>
        <v>0</v>
      </c>
      <c r="F35" s="22">
        <f>'Salary Cap Calculator'!F35+'If proposing ACAD &amp; SUM effort'!F35</f>
        <v>0</v>
      </c>
      <c r="G35" s="22">
        <f>'Salary Cap Calculator'!G35+'If proposing ACAD &amp; SUM effort'!G35</f>
        <v>0</v>
      </c>
      <c r="H35" s="22">
        <f>'Salary Cap Calculator'!H35+'If proposing ACAD &amp; SUM effort'!H35</f>
        <v>0</v>
      </c>
      <c r="I35" s="44"/>
    </row>
    <row r="36" spans="1:9" ht="15" customHeight="1" thickBot="1" x14ac:dyDescent="0.4">
      <c r="B36" s="11" t="s">
        <v>46</v>
      </c>
      <c r="C36" s="26" t="e">
        <f>'Salary Cap Calculator'!C37+'If proposing ACAD &amp; SUM effort'!C37</f>
        <v>#VALUE!</v>
      </c>
      <c r="D36" s="26" t="e">
        <f>'Salary Cap Calculator'!D37+'If proposing ACAD &amp; SUM effort'!D37</f>
        <v>#VALUE!</v>
      </c>
      <c r="E36" s="26" t="e">
        <f>'Salary Cap Calculator'!E37+'If proposing ACAD &amp; SUM effort'!E37</f>
        <v>#VALUE!</v>
      </c>
      <c r="F36" s="26" t="e">
        <f>'Salary Cap Calculator'!F37+'If proposing ACAD &amp; SUM effort'!F37</f>
        <v>#VALUE!</v>
      </c>
      <c r="G36" s="26" t="e">
        <f>'Salary Cap Calculator'!G37+'If proposing ACAD &amp; SUM effort'!G37</f>
        <v>#VALUE!</v>
      </c>
      <c r="H36" s="26">
        <f>'Salary Cap Calculator'!H37+'If proposing ACAD &amp; SUM effort'!H36</f>
        <v>0</v>
      </c>
      <c r="I36" s="44"/>
    </row>
    <row r="37" spans="1:9" ht="15" customHeight="1" x14ac:dyDescent="0.35">
      <c r="B37" s="1" t="s">
        <v>47</v>
      </c>
      <c r="C37" s="27">
        <f>'Salary Cap Calculator'!C38+'If proposing ACAD &amp; SUM effort'!C37</f>
        <v>0</v>
      </c>
      <c r="D37" s="27">
        <f>'Salary Cap Calculator'!D38+'If proposing ACAD &amp; SUM effort'!D37</f>
        <v>0</v>
      </c>
      <c r="E37" s="27">
        <f>'Salary Cap Calculator'!E38+'If proposing ACAD &amp; SUM effort'!E37</f>
        <v>0</v>
      </c>
      <c r="F37" s="27">
        <f>'Salary Cap Calculator'!F38+'If proposing ACAD &amp; SUM effort'!F37</f>
        <v>0</v>
      </c>
      <c r="G37" s="27">
        <f>'Salary Cap Calculator'!G38+'If proposing ACAD &amp; SUM effort'!G37</f>
        <v>0</v>
      </c>
      <c r="H37" s="27">
        <f>'Salary Cap Calculator'!H38+'If proposing ACAD &amp; SUM effort'!H37</f>
        <v>0</v>
      </c>
      <c r="I37" s="44"/>
    </row>
    <row r="38" spans="1:9" s="45" customFormat="1" ht="6" customHeight="1" x14ac:dyDescent="0.35">
      <c r="B38" s="2"/>
      <c r="C38" s="3"/>
      <c r="D38" s="3"/>
      <c r="E38" s="3"/>
      <c r="F38" s="3"/>
      <c r="G38" s="3"/>
      <c r="H38" s="3"/>
      <c r="I38" s="46"/>
    </row>
    <row r="39" spans="1:9" s="45" customFormat="1" ht="15" customHeight="1" x14ac:dyDescent="0.35">
      <c r="A39" s="41"/>
      <c r="B39" s="7" t="s">
        <v>48</v>
      </c>
      <c r="C39" s="8">
        <f>H37</f>
        <v>0</v>
      </c>
      <c r="D39" s="6"/>
      <c r="E39" s="6"/>
      <c r="F39" s="6"/>
      <c r="G39" s="6"/>
      <c r="H39" s="6"/>
      <c r="I39" s="46"/>
    </row>
    <row r="40" spans="1:9" s="45" customFormat="1" ht="6" customHeight="1" x14ac:dyDescent="0.35">
      <c r="B40" s="4"/>
      <c r="C40" s="5"/>
      <c r="D40" s="5"/>
      <c r="E40" s="5"/>
      <c r="F40" s="5"/>
      <c r="G40" s="5"/>
      <c r="H40" s="5"/>
      <c r="I40" s="46"/>
    </row>
    <row r="41" spans="1:9" ht="12" customHeight="1" x14ac:dyDescent="0.35">
      <c r="B41" s="94" t="s">
        <v>72</v>
      </c>
      <c r="C41" s="95"/>
      <c r="D41" s="95"/>
      <c r="E41" s="95"/>
      <c r="F41" s="95"/>
      <c r="G41" s="95"/>
      <c r="H41" s="96"/>
    </row>
    <row r="42" spans="1:9" x14ac:dyDescent="0.35">
      <c r="B42" s="97"/>
      <c r="C42" s="98"/>
      <c r="D42" s="98"/>
      <c r="E42" s="98"/>
      <c r="F42" s="98"/>
      <c r="G42" s="98"/>
      <c r="H42" s="99"/>
    </row>
    <row r="43" spans="1:9" x14ac:dyDescent="0.35">
      <c r="B43" s="100" t="s">
        <v>33</v>
      </c>
      <c r="C43" s="101"/>
      <c r="D43" s="101"/>
      <c r="E43" s="101"/>
      <c r="F43" s="101"/>
      <c r="G43" s="101"/>
      <c r="H43" s="102"/>
      <c r="I43" s="44"/>
    </row>
    <row r="45" spans="1:9" x14ac:dyDescent="0.35">
      <c r="B45" s="47"/>
      <c r="C45" s="47"/>
      <c r="D45" s="47"/>
      <c r="E45" s="47"/>
      <c r="F45" s="47"/>
      <c r="G45" s="47"/>
      <c r="H45" s="47"/>
    </row>
    <row r="46" spans="1:9" x14ac:dyDescent="0.35">
      <c r="B46" s="47"/>
      <c r="C46" s="47"/>
      <c r="D46" s="47"/>
      <c r="E46" s="47"/>
      <c r="F46" s="47"/>
      <c r="G46" s="47"/>
      <c r="H46" s="47"/>
    </row>
    <row r="47" spans="1:9" hidden="1" x14ac:dyDescent="0.35">
      <c r="B47" s="41" t="s">
        <v>17</v>
      </c>
      <c r="C47" s="41" t="s">
        <v>18</v>
      </c>
    </row>
    <row r="48" spans="1:9" hidden="1" x14ac:dyDescent="0.35">
      <c r="B48" s="48" t="s">
        <v>22</v>
      </c>
      <c r="C48" s="49">
        <v>0.51</v>
      </c>
    </row>
    <row r="49" spans="2:3" hidden="1" x14ac:dyDescent="0.35">
      <c r="B49" s="50" t="s">
        <v>23</v>
      </c>
      <c r="C49" s="51">
        <v>0.53</v>
      </c>
    </row>
    <row r="50" spans="2:3" hidden="1" x14ac:dyDescent="0.35">
      <c r="B50" s="50" t="s">
        <v>24</v>
      </c>
      <c r="C50" s="51">
        <v>0.38</v>
      </c>
    </row>
    <row r="51" spans="2:3" hidden="1" x14ac:dyDescent="0.35">
      <c r="B51" s="50" t="s">
        <v>25</v>
      </c>
      <c r="C51" s="51">
        <v>0.26</v>
      </c>
    </row>
    <row r="52" spans="2:3" hidden="1" x14ac:dyDescent="0.35">
      <c r="B52" s="50" t="s">
        <v>26</v>
      </c>
      <c r="C52" s="51">
        <v>0.26</v>
      </c>
    </row>
    <row r="53" spans="2:3" hidden="1" x14ac:dyDescent="0.35">
      <c r="B53" s="52" t="s">
        <v>27</v>
      </c>
      <c r="C53" s="53">
        <v>0.26</v>
      </c>
    </row>
    <row r="54" spans="2:3" hidden="1" x14ac:dyDescent="0.35"/>
    <row r="55" spans="2:3" hidden="1" x14ac:dyDescent="0.35">
      <c r="B55" s="54" t="s">
        <v>19</v>
      </c>
    </row>
    <row r="56" spans="2:3" hidden="1" x14ac:dyDescent="0.35">
      <c r="B56" s="55" t="s">
        <v>35</v>
      </c>
      <c r="C56" s="56">
        <v>9</v>
      </c>
    </row>
    <row r="57" spans="2:3" hidden="1" x14ac:dyDescent="0.35">
      <c r="B57" s="57" t="s">
        <v>36</v>
      </c>
      <c r="C57" s="58">
        <v>12</v>
      </c>
    </row>
    <row r="58" spans="2:3" x14ac:dyDescent="0.35">
      <c r="B58" s="54"/>
      <c r="C58" s="43"/>
    </row>
  </sheetData>
  <sheetProtection algorithmName="SHA-512" hashValue="gFCrTUUzkXDnVgZpGOr9SL4//te/wuberBujbMnCzkJjUHk2h8s+kHL6cs4EZXKGrQsMS12XEhHG0g0d/6yf+A==" saltValue="JtZrfRf03eyX72UYwWufMA==" spinCount="100000" sheet="1" formatCells="0" formatColumns="0" formatRows="0" insertColumns="0" insertRows="0" insertHyperlinks="0" deleteColumns="0" deleteRows="0" sort="0" autoFilter="0" pivotTables="0"/>
  <mergeCells count="16">
    <mergeCell ref="B2:H2"/>
    <mergeCell ref="B5:H11"/>
    <mergeCell ref="B12:H12"/>
    <mergeCell ref="C16:D16"/>
    <mergeCell ref="E16:G16"/>
    <mergeCell ref="C20:D20"/>
    <mergeCell ref="E20:G20"/>
    <mergeCell ref="B41:H42"/>
    <mergeCell ref="B43:H43"/>
    <mergeCell ref="B3:H3"/>
    <mergeCell ref="C17:D17"/>
    <mergeCell ref="E17:G17"/>
    <mergeCell ref="C18:D18"/>
    <mergeCell ref="E18:G18"/>
    <mergeCell ref="C19:D19"/>
    <mergeCell ref="E19:G19"/>
  </mergeCells>
  <hyperlinks>
    <hyperlink ref="B12:H12" r:id="rId1" display="FI0208 – Sponsored Projects – Federal Salary Rate Limitation" xr:uid="{00000000-0004-0000-0200-000000000000}"/>
  </hyperlinks>
  <printOptions horizontalCentered="1" verticalCentered="1"/>
  <pageMargins left="0.5" right="0.5" top="0.75" bottom="0.75" header="0.3" footer="0.3"/>
  <pageSetup scale="9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Salary Cap Calculator</vt:lpstr>
      <vt:lpstr>If proposing ACAD &amp; SUM effort</vt:lpstr>
      <vt:lpstr>CUMULATIVE</vt:lpstr>
      <vt:lpstr>CUMULATIVE!AppointmentType</vt:lpstr>
      <vt:lpstr>'If proposing ACAD &amp; SUM effort'!AppointmentType</vt:lpstr>
      <vt:lpstr>AppointmentType</vt:lpstr>
      <vt:lpstr>CUMULATIVE!IndirectCostType</vt:lpstr>
      <vt:lpstr>'If proposing ACAD &amp; SUM effort'!IndirectCostType</vt:lpstr>
      <vt:lpstr>IndirectCostType</vt:lpstr>
      <vt:lpstr>CUMULATIVE!Print_Area</vt:lpstr>
      <vt:lpstr>'If proposing ACAD &amp; SUM effort'!Print_Area</vt:lpstr>
      <vt:lpstr>'Salary Cap Calculator'!Print_Area</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Webster, Jennifer Lauren;Helmrath, Will;ahaswell@utk.edu</dc:creator>
  <cp:lastModifiedBy>Roder, Jen</cp:lastModifiedBy>
  <cp:lastPrinted>2016-12-20T18:11:18Z</cp:lastPrinted>
  <dcterms:created xsi:type="dcterms:W3CDTF">2016-07-22T18:17:33Z</dcterms:created>
  <dcterms:modified xsi:type="dcterms:W3CDTF">2021-06-29T13:51:54Z</dcterms:modified>
</cp:coreProperties>
</file>