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ed\Documents\"/>
    </mc:Choice>
  </mc:AlternateContent>
  <xr:revisionPtr revIDLastSave="0" documentId="13_ncr:1_{72F07649-5817-497A-BAA8-32E7AA5F5E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nefits Rate" sheetId="1" r:id="rId1"/>
    <sheet name="Sheet1" sheetId="2" r:id="rId2"/>
  </sheets>
  <definedNames>
    <definedName name="_xlnm.Print_Area" localSheetId="0">'Benefits Rate'!$A$1:$I$25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" l="1"/>
  <c r="D19" i="1"/>
  <c r="E16" i="1"/>
  <c r="E15" i="1"/>
  <c r="D15" i="1"/>
  <c r="E21" i="1"/>
  <c r="D21" i="1"/>
  <c r="D20" i="1"/>
  <c r="F17" i="1"/>
  <c r="E17" i="1"/>
  <c r="E20" i="1" l="1"/>
  <c r="F16" i="1" l="1"/>
  <c r="F15" i="1" l="1"/>
  <c r="E18" i="1"/>
  <c r="E22" i="1" l="1"/>
  <c r="E25" i="1" s="1"/>
  <c r="E23" i="1" l="1"/>
</calcChain>
</file>

<file path=xl/sharedStrings.xml><?xml version="1.0" encoding="utf-8"?>
<sst xmlns="http://schemas.openxmlformats.org/spreadsheetml/2006/main" count="28" uniqueCount="27">
  <si>
    <t>Annual Salary</t>
  </si>
  <si>
    <t>Staff Benefits</t>
  </si>
  <si>
    <t>Retirement</t>
  </si>
  <si>
    <t>Workers Comp</t>
  </si>
  <si>
    <t>Group Insurance</t>
  </si>
  <si>
    <t>401K Matching</t>
  </si>
  <si>
    <t>Type</t>
  </si>
  <si>
    <t>Amount</t>
  </si>
  <si>
    <t>Employee Staff Benefits Rate</t>
  </si>
  <si>
    <t>Unemployment**</t>
  </si>
  <si>
    <t>Rate</t>
  </si>
  <si>
    <t xml:space="preserve">    Total Staff Benefits</t>
  </si>
  <si>
    <t>Annual</t>
  </si>
  <si>
    <t>TOTAL SALARY &amp; BENEFITS</t>
  </si>
  <si>
    <t>Yes</t>
  </si>
  <si>
    <t>FICA/Medicare*</t>
  </si>
  <si>
    <t>The University of Tennessee - Knoxville</t>
  </si>
  <si>
    <t>Please make the proper choices from the pull down menus in each ORANGE CELL</t>
  </si>
  <si>
    <t>Calculation of Employee Staff Benefit Rate</t>
  </si>
  <si>
    <t>OPEB Health Insurance</t>
  </si>
  <si>
    <t>Name Goes Here</t>
  </si>
  <si>
    <t>ORP</t>
  </si>
  <si>
    <t>EE &amp; SP &amp; CH</t>
  </si>
  <si>
    <t>**  Unemployment is calculated on the first $7,000 of salary on a calendar year basis.</t>
  </si>
  <si>
    <t>hired before 7/1/15 and under age 65</t>
  </si>
  <si>
    <t>Effective January 1, 2023</t>
  </si>
  <si>
    <t>*   OASDI of 6.2% on first $160,200 plus 1.45% of annual salary on a calendar year basis.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</si>
</sst>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0%"/>
    <numFmt numFmtId="165" formatCode="&quot;$&quot;#,##0.00"/>
    <numFmt numFmtId="166" formatCode="&quot;$&quot;#,##0.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hidden="1"/>
    </xf>
    <xf numFmtId="14" fontId="4" fillId="0" borderId="0" xfId="0" quotePrefix="1" applyNumberFormat="1" applyFont="1" applyAlignment="1">
      <alignment horizontal="center"/>
    </xf>
    <xf numFmtId="10" fontId="0" fillId="0" borderId="0" xfId="0" applyNumberFormat="1"/>
    <xf numFmtId="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1" xfId="0" applyBorder="1"/>
    <xf numFmtId="4" fontId="0" fillId="0" borderId="0" xfId="0" applyNumberFormat="1"/>
    <xf numFmtId="10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0" fontId="6" fillId="0" borderId="0" xfId="0" applyNumberFormat="1" applyFont="1"/>
    <xf numFmtId="0" fontId="1" fillId="0" borderId="0" xfId="0" applyFont="1"/>
    <xf numFmtId="0" fontId="5" fillId="0" borderId="0" xfId="0" applyFont="1"/>
    <xf numFmtId="164" fontId="0" fillId="0" borderId="0" xfId="0" quotePrefix="1" applyNumberFormat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4" fontId="0" fillId="0" borderId="2" xfId="0" applyNumberFormat="1" applyBorder="1"/>
    <xf numFmtId="0" fontId="2" fillId="0" borderId="0" xfId="0" applyFont="1"/>
    <xf numFmtId="165" fontId="0" fillId="0" borderId="4" xfId="0" applyNumberFormat="1" applyBorder="1"/>
    <xf numFmtId="0" fontId="3" fillId="0" borderId="0" xfId="0" applyFont="1"/>
    <xf numFmtId="44" fontId="0" fillId="0" borderId="0" xfId="1" applyFont="1" applyProtection="1"/>
    <xf numFmtId="165" fontId="2" fillId="3" borderId="0" xfId="0" applyNumberFormat="1" applyFont="1" applyFill="1" applyProtection="1">
      <protection locked="0"/>
    </xf>
    <xf numFmtId="0" fontId="2" fillId="3" borderId="0" xfId="0" applyFont="1" applyFill="1" applyProtection="1">
      <protection locked="0"/>
    </xf>
    <xf numFmtId="10" fontId="3" fillId="2" borderId="3" xfId="0" applyNumberFormat="1" applyFont="1" applyFill="1" applyBorder="1"/>
    <xf numFmtId="166" fontId="0" fillId="0" borderId="0" xfId="0" applyNumberFormat="1" applyProtection="1">
      <protection hidden="1"/>
    </xf>
    <xf numFmtId="0" fontId="7" fillId="0" borderId="0" xfId="0" applyFont="1"/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center"/>
    </xf>
    <xf numFmtId="14" fontId="4" fillId="0" borderId="5" xfId="0" applyNumberFormat="1" applyFont="1" applyBorder="1" applyAlignment="1" applyProtection="1">
      <alignment horizontal="center"/>
      <protection locked="0"/>
    </xf>
    <xf numFmtId="14" fontId="4" fillId="0" borderId="6" xfId="0" quotePrefix="1" applyNumberFormat="1" applyFont="1" applyBorder="1" applyAlignment="1" applyProtection="1">
      <alignment horizontal="center"/>
      <protection locked="0"/>
    </xf>
    <xf numFmtId="14" fontId="4" fillId="0" borderId="7" xfId="0" quotePrefix="1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9"/>
  <sheetViews>
    <sheetView tabSelected="1" zoomScale="110" zoomScaleNormal="110" workbookViewId="0">
      <selection activeCell="A5" sqref="A5:H5"/>
    </sheetView>
  </sheetViews>
  <sheetFormatPr defaultColWidth="8.85546875" defaultRowHeight="12.75" x14ac:dyDescent="0.2"/>
  <cols>
    <col min="1" max="1" width="4.7109375" customWidth="1"/>
    <col min="2" max="2" width="21.140625" customWidth="1"/>
    <col min="3" max="3" width="16.140625" customWidth="1"/>
    <col min="4" max="4" width="14.28515625" style="3" bestFit="1" customWidth="1"/>
    <col min="5" max="5" width="12.28515625" style="9" bestFit="1" customWidth="1"/>
    <col min="8" max="8" width="14.140625" customWidth="1"/>
    <col min="11" max="11" width="12.140625" bestFit="1" customWidth="1"/>
  </cols>
  <sheetData>
    <row r="1" spans="1:13" ht="18" x14ac:dyDescent="0.25">
      <c r="A1" s="29" t="s">
        <v>16</v>
      </c>
      <c r="B1" s="29"/>
      <c r="C1" s="29"/>
      <c r="D1" s="29"/>
      <c r="E1" s="29"/>
      <c r="F1" s="29"/>
      <c r="G1" s="29"/>
      <c r="H1" s="29"/>
    </row>
    <row r="2" spans="1:13" ht="18" x14ac:dyDescent="0.25">
      <c r="A2" s="29" t="s">
        <v>18</v>
      </c>
      <c r="B2" s="29"/>
      <c r="C2" s="29"/>
      <c r="D2" s="29"/>
      <c r="E2" s="29"/>
      <c r="F2" s="29"/>
      <c r="G2" s="29"/>
      <c r="H2" s="29"/>
    </row>
    <row r="3" spans="1:13" ht="15.75" x14ac:dyDescent="0.25">
      <c r="A3" s="30" t="s">
        <v>25</v>
      </c>
      <c r="B3" s="31"/>
      <c r="C3" s="31"/>
      <c r="D3" s="31"/>
      <c r="E3" s="31"/>
      <c r="F3" s="31"/>
      <c r="G3" s="31"/>
      <c r="H3" s="31"/>
    </row>
    <row r="4" spans="1:13" ht="16.5" thickBot="1" x14ac:dyDescent="0.3">
      <c r="A4" s="2"/>
      <c r="B4" s="2"/>
      <c r="C4" s="2"/>
      <c r="D4" s="2"/>
      <c r="E4" s="2"/>
      <c r="F4" s="2"/>
      <c r="G4" s="2"/>
      <c r="H4" s="2"/>
    </row>
    <row r="5" spans="1:13" ht="16.5" thickBot="1" x14ac:dyDescent="0.3">
      <c r="A5" s="32" t="s">
        <v>20</v>
      </c>
      <c r="B5" s="33"/>
      <c r="C5" s="33"/>
      <c r="D5" s="33"/>
      <c r="E5" s="33"/>
      <c r="F5" s="33"/>
      <c r="G5" s="33"/>
      <c r="H5" s="34"/>
    </row>
    <row r="7" spans="1:13" x14ac:dyDescent="0.2">
      <c r="A7" s="28" t="s">
        <v>17</v>
      </c>
      <c r="B7" s="28"/>
      <c r="C7" s="28"/>
      <c r="D7" s="28"/>
      <c r="E7" s="28"/>
      <c r="F7" s="28"/>
      <c r="G7" s="28"/>
      <c r="H7" s="28"/>
    </row>
    <row r="9" spans="1:13" x14ac:dyDescent="0.2">
      <c r="E9" s="4" t="s">
        <v>12</v>
      </c>
    </row>
    <row r="10" spans="1:13" x14ac:dyDescent="0.2">
      <c r="C10" s="5" t="s">
        <v>6</v>
      </c>
      <c r="D10" s="6" t="s">
        <v>10</v>
      </c>
      <c r="E10" s="7" t="s">
        <v>7</v>
      </c>
      <c r="F10" s="8"/>
      <c r="G10" s="8"/>
      <c r="H10" s="8"/>
    </row>
    <row r="11" spans="1:13" x14ac:dyDescent="0.2">
      <c r="A11" t="s">
        <v>0</v>
      </c>
      <c r="E11" s="23">
        <v>200000</v>
      </c>
    </row>
    <row r="14" spans="1:13" x14ac:dyDescent="0.2">
      <c r="A14" t="s">
        <v>1</v>
      </c>
    </row>
    <row r="15" spans="1:13" x14ac:dyDescent="0.2">
      <c r="B15" t="s">
        <v>2</v>
      </c>
      <c r="C15" s="24" t="s">
        <v>21</v>
      </c>
      <c r="D15" s="10" t="str">
        <f>IF(C15="JCRS",0.2966,IF(C15="ORP",IF(E11&gt;160200,"10%/11%",0.1),IF(C15="TCRS",0.2188,IF(C15="TCRS Hybrid",0.0895,IF(C15="ORP Hybrid",0.09,0)))))</f>
        <v>10%/11%</v>
      </c>
      <c r="E15" s="11">
        <f>IF(C15="JCRS",0.2966*E11,IF(C15="ORP",IF(E11&gt;160200,(160200*0.1)+(E11-160200)*0.11,0.1*E11),IF(C15="TCRS",0.2188*E11,IF(C15="TCRS Hybrid",0.0895*E11,IF(C15="ORP Hybrid",0.09*E11,0)))))</f>
        <v>20398</v>
      </c>
      <c r="F15" s="12" t="str">
        <f>IF(C15="JCRS","Faculty/Exempt hired before 1978",IF(C15="ORP","Most Faculty/Exempt (TIAA/CREF)",IF(C15="TCRS","All non exempt, some Faculty/Exempt",IF(C15="TCRS Hybrid","All non-exempt, some Fac/Exempt hired after 6/30/14",IF(C15="ORP HYBRID","Most Fac/Exempt (TIAA/CREF) hired after 6/30/14","Term Employees")))))</f>
        <v>Most Faculty/Exempt (TIAA/CREF)</v>
      </c>
      <c r="K15" s="26"/>
      <c r="L15" s="1"/>
      <c r="M15" s="1"/>
    </row>
    <row r="16" spans="1:13" x14ac:dyDescent="0.2">
      <c r="B16" s="13" t="s">
        <v>15</v>
      </c>
      <c r="D16" s="3">
        <v>7.6499999999999999E-2</v>
      </c>
      <c r="E16" s="9">
        <f>IF(E11&lt;=160200,E11*0.0765,(160200*0.062)+(E11*0.0145))</f>
        <v>12832.4</v>
      </c>
      <c r="F16" s="14" t="str">
        <f>IF(E11&gt;118500,"OASDI Limit Exceeded, see footnote", "")</f>
        <v>OASDI Limit Exceeded, see footnote</v>
      </c>
      <c r="K16" s="1"/>
      <c r="L16" s="1"/>
      <c r="M16" s="1"/>
    </row>
    <row r="17" spans="1:13" x14ac:dyDescent="0.2">
      <c r="B17" t="s">
        <v>9</v>
      </c>
      <c r="D17" s="15">
        <v>6.1200000000000002E-4</v>
      </c>
      <c r="E17" s="9">
        <f>IF(E11&lt;7000,E11*D17,7000*D17)</f>
        <v>4.2839999999999998</v>
      </c>
      <c r="F17" s="14" t="str">
        <f>IF(E11&gt;7000,"$7K Limit Exceeded, see footnote", "")</f>
        <v>$7K Limit Exceeded, see footnote</v>
      </c>
      <c r="K17" s="1"/>
      <c r="L17" s="1"/>
      <c r="M17" s="1"/>
    </row>
    <row r="18" spans="1:13" x14ac:dyDescent="0.2">
      <c r="B18" t="s">
        <v>3</v>
      </c>
      <c r="D18" s="3">
        <v>2.2000000000000001E-3</v>
      </c>
      <c r="E18" s="9">
        <f>+E11*D18</f>
        <v>440</v>
      </c>
      <c r="K18" s="1"/>
      <c r="L18" s="1"/>
      <c r="M18" s="1"/>
    </row>
    <row r="19" spans="1:13" x14ac:dyDescent="0.2">
      <c r="B19" t="s">
        <v>4</v>
      </c>
      <c r="C19" s="24" t="s">
        <v>22</v>
      </c>
      <c r="D19" s="11" t="str">
        <f>IF(C19="Employee only","$607.80/mo.",IF(C19="EE &amp; spouse","$1,338.80/mo.",IF(C19="EE &amp; children","$913.80/mo.",IF(C19="EE &amp; SP &amp; CH","$1581.80/mo.","Basic Life $4.16"))))</f>
        <v>$1581.80/mo.</v>
      </c>
      <c r="E19" s="9">
        <f>IF(C19="Employee Only",607.8*12,IF(C19="EE &amp; spouse",1338.8*12,IF(C19="EE &amp; SP &amp; CH",1581.8*12,IF(C19="EE &amp; children",913.8*12,4.16*12))))</f>
        <v>18981.599999999999</v>
      </c>
      <c r="K19" s="1"/>
      <c r="L19" s="1"/>
      <c r="M19" s="1"/>
    </row>
    <row r="20" spans="1:13" x14ac:dyDescent="0.2">
      <c r="B20" s="13" t="s">
        <v>19</v>
      </c>
      <c r="C20" s="24" t="s">
        <v>14</v>
      </c>
      <c r="D20" s="11" t="str">
        <f>IF(C20="Yes","$111.04/mo.","N/A")</f>
        <v>$111.04/mo.</v>
      </c>
      <c r="E20" s="9">
        <f>IF(C20="Yes",99.74*12,0)</f>
        <v>1196.8799999999999</v>
      </c>
      <c r="F20" s="27" t="s">
        <v>24</v>
      </c>
      <c r="K20" s="1"/>
      <c r="L20" s="1"/>
      <c r="M20" s="1"/>
    </row>
    <row r="21" spans="1:13" x14ac:dyDescent="0.2">
      <c r="B21" t="s">
        <v>5</v>
      </c>
      <c r="C21" s="24" t="s">
        <v>14</v>
      </c>
      <c r="D21" s="16" t="str">
        <f>IF(C21="Yes","$100/mo.","N/A")</f>
        <v>$100/mo.</v>
      </c>
      <c r="E21" s="17">
        <f>IF(C21="Yes",1200,0)</f>
        <v>1200</v>
      </c>
      <c r="K21" s="1"/>
      <c r="L21" s="1"/>
      <c r="M21" s="1"/>
    </row>
    <row r="22" spans="1:13" x14ac:dyDescent="0.2">
      <c r="B22" t="s">
        <v>11</v>
      </c>
      <c r="E22" s="18">
        <f>SUM(E15:E21)</f>
        <v>55053.163999999997</v>
      </c>
      <c r="K22" s="1"/>
      <c r="L22" s="1"/>
      <c r="M22" s="1"/>
    </row>
    <row r="23" spans="1:13" ht="13.5" thickBot="1" x14ac:dyDescent="0.25">
      <c r="A23" s="19" t="s">
        <v>13</v>
      </c>
      <c r="E23" s="20">
        <f>+E11+E22</f>
        <v>255053.16399999999</v>
      </c>
      <c r="K23" s="1"/>
      <c r="L23" s="1"/>
      <c r="M23" s="1"/>
    </row>
    <row r="24" spans="1:13" ht="14.25" thickTop="1" thickBot="1" x14ac:dyDescent="0.25">
      <c r="K24" s="1"/>
      <c r="L24" s="1"/>
      <c r="M24" s="1"/>
    </row>
    <row r="25" spans="1:13" ht="18.75" thickBot="1" x14ac:dyDescent="0.3">
      <c r="A25" s="21" t="s">
        <v>8</v>
      </c>
      <c r="E25" s="25">
        <f>+E22/E11</f>
        <v>0.27526581999999999</v>
      </c>
      <c r="I25" s="22"/>
      <c r="K25" s="1"/>
      <c r="L25" s="1"/>
      <c r="M25" s="1"/>
    </row>
    <row r="28" spans="1:13" x14ac:dyDescent="0.2">
      <c r="A28" s="13" t="s">
        <v>26</v>
      </c>
    </row>
    <row r="29" spans="1:13" x14ac:dyDescent="0.2">
      <c r="A29" s="13" t="s">
        <v>23</v>
      </c>
    </row>
  </sheetData>
  <sheetProtection algorithmName="SHA-512" hashValue="T7TWXR39IDZYfH21BIduAi1hdK1p/zbFgqxUie0s/yENIt78Nl0b9lEd232+Wh1iYLmdL3tlhFzvPX04q6aVEw==" saltValue="eVdYWxSAj7BhCvGHwOL+2g==" spinCount="100000" sheet="1" objects="1" scenarios="1" selectLockedCells="1"/>
  <mergeCells count="5">
    <mergeCell ref="A7:H7"/>
    <mergeCell ref="A1:H1"/>
    <mergeCell ref="A2:H2"/>
    <mergeCell ref="A3:H3"/>
    <mergeCell ref="A5:H5"/>
  </mergeCells>
  <phoneticPr fontId="0" type="noConversion"/>
  <dataValidations xWindow="263" yWindow="471" count="5">
    <dataValidation type="list" allowBlank="1" showInputMessage="1" showErrorMessage="1" promptTitle="Retirement Type" prompt="Please choose the type of retirement from the pull down list." sqref="C15" xr:uid="{00000000-0002-0000-0000-000000000000}">
      <formula1>"TCRS Hybrid,ORP Hybrid,TCRS,ORP,None,JCRS"</formula1>
    </dataValidation>
    <dataValidation allowBlank="1" showInputMessage="1" showErrorMessage="1" promptTitle="Annual Salary" prompt="Enter the employee's annual salary." sqref="E11" xr:uid="{00000000-0002-0000-0000-000001000000}"/>
    <dataValidation type="list" allowBlank="1" showInputMessage="1" showErrorMessage="1" promptTitle="Insurance Type" prompt="Please choose the type of insurance coverage from the pull down list." sqref="C19" xr:uid="{00000000-0002-0000-0000-000002000000}">
      <formula1>"Employee only,EE &amp; spouse,EE &amp; children,EE &amp; SP &amp; CH,None"</formula1>
    </dataValidation>
    <dataValidation type="list" allowBlank="1" showInputMessage="1" showErrorMessage="1" promptTitle="401K Matching Participation" prompt="Please choose from the pull down list if the employee participates in the 401K matching benefit. " sqref="C21" xr:uid="{00000000-0002-0000-0000-000003000000}">
      <formula1>"Yes,No"</formula1>
    </dataValidation>
    <dataValidation type="list" allowBlank="1" showInputMessage="1" showErrorMessage="1" promptTitle="Other Post Employment Benefits " prompt="Please choose &quot;Yes&quot; if the employee is a regular employee who is 75% time or greater, hired before 7/1/2015, and is under the age of 65.  Otherwise, choose &quot;No&quot;. " sqref="C20" xr:uid="{00000000-0002-0000-0000-000004000000}">
      <formula1>"Yes,No"</formula1>
    </dataValidation>
  </dataValidations>
  <printOptions horizontalCentered="1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Benefits Rate</vt:lpstr>
      <vt:lpstr>Sheet1</vt:lpstr>
      <vt:lpstr>'Benefits Rate'!Print_Area</vt:lpstr>
    </vt:vector>
  </TitlesOfParts>
  <Company>The University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Ctrs Business Office</dc:creator>
  <cp:lastModifiedBy>dreed</cp:lastModifiedBy>
  <cp:lastPrinted>2014-08-05T13:50:27Z</cp:lastPrinted>
  <dcterms:created xsi:type="dcterms:W3CDTF">2003-12-03T15:41:44Z</dcterms:created>
  <dcterms:modified xsi:type="dcterms:W3CDTF">2023-05-02T20:50:43Z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